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наб81" sheetId="1" r:id="rId1"/>
    <sheet name="наб 83" sheetId="2" r:id="rId2"/>
    <sheet name="наб85" sheetId="3" r:id="rId3"/>
    <sheet name="наб 87" sheetId="4" r:id="rId4"/>
    <sheet name="прол 71-1" sheetId="5" r:id="rId5"/>
    <sheet name="прол 71-2" sheetId="6" r:id="rId6"/>
    <sheet name="прол 79" sheetId="7" r:id="rId7"/>
    <sheet name="прол 79-2" sheetId="8" r:id="rId8"/>
    <sheet name="прол 81" sheetId="9" r:id="rId9"/>
    <sheet name="прол 81 -1" sheetId="10" r:id="rId10"/>
    <sheet name="прол 81 -2" sheetId="11" r:id="rId11"/>
    <sheet name="свод" sheetId="13" r:id="rId12"/>
  </sheets>
  <calcPr calcId="144525" calcOnSave="0"/>
</workbook>
</file>

<file path=xl/calcChain.xml><?xml version="1.0" encoding="utf-8"?>
<calcChain xmlns="http://schemas.openxmlformats.org/spreadsheetml/2006/main">
  <c r="F35" i="13" l="1"/>
  <c r="E35" i="13"/>
  <c r="G35" i="13" s="1"/>
  <c r="K6" i="13"/>
  <c r="K7" i="13"/>
  <c r="K10" i="13"/>
  <c r="K11" i="13"/>
  <c r="K14" i="13"/>
  <c r="K15" i="13"/>
  <c r="J5" i="13"/>
  <c r="K5" i="13" s="1"/>
  <c r="J6" i="13"/>
  <c r="J7" i="13"/>
  <c r="J8" i="13"/>
  <c r="K8" i="13" s="1"/>
  <c r="J9" i="13"/>
  <c r="K9" i="13" s="1"/>
  <c r="J10" i="13"/>
  <c r="J11" i="13"/>
  <c r="J12" i="13"/>
  <c r="K12" i="13" s="1"/>
  <c r="J13" i="13"/>
  <c r="K13" i="13" s="1"/>
  <c r="J14" i="13"/>
  <c r="J15" i="13"/>
  <c r="J4" i="13"/>
  <c r="K4" i="13" s="1"/>
  <c r="I16" i="13"/>
  <c r="F16" i="13"/>
  <c r="E16" i="13"/>
  <c r="G31" i="9"/>
  <c r="F31" i="9"/>
  <c r="K31" i="9" s="1"/>
  <c r="F27" i="9"/>
  <c r="F26" i="9"/>
  <c r="F25" i="9"/>
  <c r="F24" i="9"/>
  <c r="F23" i="9"/>
  <c r="F22" i="9"/>
  <c r="G17" i="9"/>
  <c r="G16" i="9"/>
  <c r="G15" i="9"/>
  <c r="F17" i="9"/>
  <c r="F16" i="9"/>
  <c r="F15" i="9"/>
  <c r="G36" i="9" s="1"/>
  <c r="G31" i="11"/>
  <c r="K31" i="11" s="1"/>
  <c r="F31" i="11"/>
  <c r="F27" i="11"/>
  <c r="F26" i="11"/>
  <c r="F25" i="11"/>
  <c r="F24" i="11"/>
  <c r="F23" i="11"/>
  <c r="F22" i="11"/>
  <c r="G17" i="11"/>
  <c r="G16" i="11"/>
  <c r="G15" i="11"/>
  <c r="F17" i="11"/>
  <c r="F20" i="11" s="1"/>
  <c r="F16" i="11"/>
  <c r="F15" i="11"/>
  <c r="G36" i="11" s="1"/>
  <c r="F28" i="11"/>
  <c r="J28" i="11"/>
  <c r="G34" i="11"/>
  <c r="G30" i="10"/>
  <c r="F30" i="10"/>
  <c r="J30" i="10" s="1"/>
  <c r="F26" i="10"/>
  <c r="F25" i="10"/>
  <c r="F24" i="10"/>
  <c r="F23" i="10"/>
  <c r="F20" i="10" s="1"/>
  <c r="F22" i="10"/>
  <c r="F21" i="10"/>
  <c r="G16" i="10"/>
  <c r="G15" i="10"/>
  <c r="G33" i="10" s="1"/>
  <c r="G14" i="10"/>
  <c r="F16" i="10"/>
  <c r="F15" i="10"/>
  <c r="F14" i="10"/>
  <c r="J26" i="10"/>
  <c r="F28" i="9"/>
  <c r="G34" i="9" s="1"/>
  <c r="J28" i="9"/>
  <c r="F20" i="9"/>
  <c r="F18" i="9"/>
  <c r="G31" i="8"/>
  <c r="F31" i="8"/>
  <c r="K31" i="8" s="1"/>
  <c r="F27" i="8"/>
  <c r="F26" i="8"/>
  <c r="F25" i="8"/>
  <c r="F24" i="8"/>
  <c r="F23" i="8"/>
  <c r="F22" i="8"/>
  <c r="G17" i="8"/>
  <c r="G16" i="8"/>
  <c r="G15" i="8"/>
  <c r="F17" i="8"/>
  <c r="F20" i="8" s="1"/>
  <c r="F16" i="8"/>
  <c r="F15" i="8"/>
  <c r="F28" i="8"/>
  <c r="G34" i="8" s="1"/>
  <c r="J28" i="8"/>
  <c r="G31" i="7"/>
  <c r="F31" i="7"/>
  <c r="J31" i="7" s="1"/>
  <c r="F27" i="7"/>
  <c r="F26" i="7"/>
  <c r="F25" i="7"/>
  <c r="F24" i="7"/>
  <c r="F23" i="7"/>
  <c r="F21" i="7" s="1"/>
  <c r="F22" i="7"/>
  <c r="G17" i="7"/>
  <c r="G16" i="7"/>
  <c r="G15" i="7"/>
  <c r="G18" i="7" s="1"/>
  <c r="F17" i="7"/>
  <c r="F16" i="7"/>
  <c r="F15" i="7"/>
  <c r="F28" i="7"/>
  <c r="L28" i="7"/>
  <c r="J28" i="7"/>
  <c r="G30" i="6"/>
  <c r="J30" i="6" s="1"/>
  <c r="F30" i="6"/>
  <c r="F26" i="6"/>
  <c r="F25" i="6"/>
  <c r="F24" i="6"/>
  <c r="F23" i="6"/>
  <c r="F22" i="6"/>
  <c r="F21" i="6"/>
  <c r="G16" i="6"/>
  <c r="G15" i="6"/>
  <c r="G14" i="6"/>
  <c r="F16" i="6"/>
  <c r="F15" i="6"/>
  <c r="F14" i="6"/>
  <c r="F27" i="6"/>
  <c r="L27" i="6"/>
  <c r="K27" i="6"/>
  <c r="J27" i="6"/>
  <c r="K16" i="13" l="1"/>
  <c r="K35" i="13" s="1"/>
  <c r="G34" i="7"/>
  <c r="G36" i="7"/>
  <c r="G18" i="8"/>
  <c r="G18" i="11"/>
  <c r="J16" i="13"/>
  <c r="F21" i="11"/>
  <c r="F29" i="11" s="1"/>
  <c r="G17" i="10"/>
  <c r="F18" i="11"/>
  <c r="J18" i="11" s="1"/>
  <c r="G18" i="9"/>
  <c r="K18" i="9" s="1"/>
  <c r="L16" i="13"/>
  <c r="G16" i="13"/>
  <c r="F18" i="8"/>
  <c r="J18" i="8" s="1"/>
  <c r="G36" i="8"/>
  <c r="G38" i="8" s="1"/>
  <c r="F18" i="7"/>
  <c r="J18" i="7" s="1"/>
  <c r="G38" i="11"/>
  <c r="G35" i="10"/>
  <c r="G37" i="10" s="1"/>
  <c r="F17" i="10"/>
  <c r="K17" i="10" s="1"/>
  <c r="F19" i="10"/>
  <c r="F28" i="10" s="1"/>
  <c r="F21" i="9"/>
  <c r="F29" i="9" s="1"/>
  <c r="G38" i="9"/>
  <c r="F21" i="8"/>
  <c r="F29" i="8" s="1"/>
  <c r="F20" i="7"/>
  <c r="F29" i="7" s="1"/>
  <c r="G38" i="7"/>
  <c r="F28" i="5"/>
  <c r="K28" i="5"/>
  <c r="F27" i="5"/>
  <c r="F26" i="5"/>
  <c r="F25" i="5"/>
  <c r="F24" i="5"/>
  <c r="F23" i="5"/>
  <c r="F22" i="5"/>
  <c r="F21" i="5" s="1"/>
  <c r="G17" i="5"/>
  <c r="G16" i="5"/>
  <c r="G34" i="5" s="1"/>
  <c r="G15" i="5"/>
  <c r="G18" i="5" s="1"/>
  <c r="F17" i="5"/>
  <c r="F20" i="5" s="1"/>
  <c r="F16" i="5"/>
  <c r="F15" i="5"/>
  <c r="G36" i="5" s="1"/>
  <c r="G31" i="5"/>
  <c r="F31" i="5"/>
  <c r="J31" i="5" s="1"/>
  <c r="F22" i="4"/>
  <c r="F27" i="4"/>
  <c r="F26" i="4"/>
  <c r="F25" i="4"/>
  <c r="F24" i="4"/>
  <c r="F23" i="4"/>
  <c r="F15" i="4"/>
  <c r="G31" i="4"/>
  <c r="F31" i="4"/>
  <c r="J31" i="4" s="1"/>
  <c r="G17" i="4"/>
  <c r="G16" i="4"/>
  <c r="G15" i="4"/>
  <c r="F17" i="4"/>
  <c r="F18" i="4" s="1"/>
  <c r="F16" i="4"/>
  <c r="F28" i="4"/>
  <c r="G34" i="4" s="1"/>
  <c r="G15" i="2"/>
  <c r="G18" i="2" s="1"/>
  <c r="G16" i="2"/>
  <c r="G17" i="2"/>
  <c r="F17" i="2"/>
  <c r="F20" i="2" s="1"/>
  <c r="F16" i="2"/>
  <c r="F15" i="2"/>
  <c r="F28" i="2"/>
  <c r="J28" i="2"/>
  <c r="F27" i="2"/>
  <c r="F26" i="2"/>
  <c r="F25" i="2"/>
  <c r="F24" i="2"/>
  <c r="F31" i="2"/>
  <c r="G31" i="2"/>
  <c r="G32" i="3"/>
  <c r="F32" i="3"/>
  <c r="J32" i="3" s="1"/>
  <c r="G17" i="3"/>
  <c r="G16" i="3"/>
  <c r="G15" i="3"/>
  <c r="F17" i="3"/>
  <c r="F20" i="3" s="1"/>
  <c r="F16" i="3"/>
  <c r="F15" i="3"/>
  <c r="F29" i="3"/>
  <c r="J29" i="3"/>
  <c r="F23" i="3"/>
  <c r="F28" i="3"/>
  <c r="F26" i="3"/>
  <c r="F27" i="3"/>
  <c r="F25" i="3"/>
  <c r="F22" i="3"/>
  <c r="F18" i="3"/>
  <c r="G33" i="1"/>
  <c r="F33" i="1"/>
  <c r="J33" i="1" s="1"/>
  <c r="F30" i="1"/>
  <c r="F24" i="1"/>
  <c r="J18" i="4" l="1"/>
  <c r="J31" i="2"/>
  <c r="F21" i="2"/>
  <c r="G18" i="4"/>
  <c r="F21" i="3"/>
  <c r="G18" i="3"/>
  <c r="J18" i="3" s="1"/>
  <c r="G33" i="2"/>
  <c r="F29" i="5"/>
  <c r="G38" i="5"/>
  <c r="F18" i="5"/>
  <c r="J18" i="5" s="1"/>
  <c r="F21" i="4"/>
  <c r="F20" i="4"/>
  <c r="G36" i="4"/>
  <c r="G38" i="4" s="1"/>
  <c r="F29" i="2"/>
  <c r="F18" i="2"/>
  <c r="J18" i="2" s="1"/>
  <c r="G35" i="2"/>
  <c r="G37" i="2" s="1"/>
  <c r="F30" i="3"/>
  <c r="G37" i="3"/>
  <c r="G35" i="3"/>
  <c r="F29" i="1"/>
  <c r="F28" i="1"/>
  <c r="F27" i="1"/>
  <c r="F26" i="1"/>
  <c r="F25" i="1"/>
  <c r="F23" i="1"/>
  <c r="F29" i="4" l="1"/>
  <c r="G39" i="3"/>
  <c r="G18" i="1"/>
  <c r="G17" i="1"/>
  <c r="G16" i="1"/>
  <c r="F18" i="1"/>
  <c r="F17" i="1"/>
  <c r="F16" i="1"/>
  <c r="G17" i="6"/>
  <c r="F17" i="6"/>
  <c r="J17" i="6" s="1"/>
  <c r="F20" i="6" l="1"/>
  <c r="F19" i="6"/>
  <c r="G33" i="6"/>
  <c r="G35" i="6" l="1"/>
  <c r="G37" i="6" s="1"/>
  <c r="F28" i="6"/>
  <c r="G19" i="1"/>
  <c r="F19" i="1"/>
  <c r="J19" i="1" l="1"/>
  <c r="F21" i="1"/>
  <c r="G36" i="1"/>
  <c r="F22" i="1" l="1"/>
  <c r="G38" i="1"/>
  <c r="G40" i="1" s="1"/>
  <c r="F31" i="1" l="1"/>
</calcChain>
</file>

<file path=xl/sharedStrings.xml><?xml version="1.0" encoding="utf-8"?>
<sst xmlns="http://schemas.openxmlformats.org/spreadsheetml/2006/main" count="450" uniqueCount="75">
  <si>
    <t>Лицевой счет № 48</t>
  </si>
  <si>
    <t>содержание и текущий ремонт</t>
  </si>
  <si>
    <t>Адрес: Набережная реки Магаданки д.81</t>
  </si>
  <si>
    <t>Количество человек:</t>
  </si>
  <si>
    <t>Полезная оплачиваемая площадь:</t>
  </si>
  <si>
    <t>Д О Х О Д Ы</t>
  </si>
  <si>
    <t>Наименование работ</t>
  </si>
  <si>
    <t>Начислено</t>
  </si>
  <si>
    <t>Оплачено</t>
  </si>
  <si>
    <t>Содержание</t>
  </si>
  <si>
    <t>Текущий ремонт</t>
  </si>
  <si>
    <t>Всего доходов</t>
  </si>
  <si>
    <t>Р А С Х О Д Ы</t>
  </si>
  <si>
    <t>Содержание в т.ч.</t>
  </si>
  <si>
    <t>Уборка лестничных клеток</t>
  </si>
  <si>
    <t>Обслуживание лифта</t>
  </si>
  <si>
    <t>Уборка дворовой территории</t>
  </si>
  <si>
    <t>Услуги вывоза и утилизации ТБО</t>
  </si>
  <si>
    <t>Содержание аварийной службы</t>
  </si>
  <si>
    <t>Услуги по управлению дома</t>
  </si>
  <si>
    <t>Всего расходов</t>
  </si>
  <si>
    <t>Примечание:</t>
  </si>
  <si>
    <t>(-) - задолженность предприятия</t>
  </si>
  <si>
    <t>(+) - задолженность населения</t>
  </si>
  <si>
    <t>Телефон для справок:</t>
  </si>
  <si>
    <t>Лицевой счет № 49</t>
  </si>
  <si>
    <t>Лицевой счет № 50</t>
  </si>
  <si>
    <t>Адрес: Набережная реки Магаданки д.85</t>
  </si>
  <si>
    <t>Лицевой счет № 51</t>
  </si>
  <si>
    <t>Прочие работы по содержанию и техническому обслуживанию</t>
  </si>
  <si>
    <t>Адрес: ул. Пролетарская д.71 корп.1</t>
  </si>
  <si>
    <t>Адрес: ул. Пролетарская д.71 корп.2</t>
  </si>
  <si>
    <t>Лицевой счет № 87</t>
  </si>
  <si>
    <t>Адрес: ул. Пролетарская д.79</t>
  </si>
  <si>
    <t>Лицевой счет № 86</t>
  </si>
  <si>
    <t>Адрес: ул. Пролетарская д.79 корп.2</t>
  </si>
  <si>
    <t>Лицевой счет № 90</t>
  </si>
  <si>
    <t>Адрес: ул. Пролетарская д.81</t>
  </si>
  <si>
    <t>Лицевой счет № 88</t>
  </si>
  <si>
    <t>Адрес: ул. Пролетарская д.81 корп.1</t>
  </si>
  <si>
    <t>Лицевой счет № 89</t>
  </si>
  <si>
    <t>Адрес: ул. Пролетарская д.81 корп.2</t>
  </si>
  <si>
    <t>Приборы учета</t>
  </si>
  <si>
    <t>Расходы на ОДН (ХВС)</t>
  </si>
  <si>
    <t>Расходы на ОДН (ГВС)</t>
  </si>
  <si>
    <t>Обслуживание тех.узлов(приборы учета)</t>
  </si>
  <si>
    <r>
      <t>(</t>
    </r>
    <r>
      <rPr>
        <sz val="7"/>
        <rFont val="Times New Roman"/>
        <family val="1"/>
        <charset val="204"/>
      </rPr>
      <t>     20-14-14)</t>
    </r>
  </si>
  <si>
    <t>Телефон для справок:            20-14-14</t>
  </si>
  <si>
    <t>Адрес: Набережная реки Магаданки д.83</t>
  </si>
  <si>
    <t>Адрес: Набережная реки Магаданки д.87</t>
  </si>
  <si>
    <t>Лицевой счет № 52</t>
  </si>
  <si>
    <t>Лицевой счет № 53</t>
  </si>
  <si>
    <t>Телефон для справок: (20-14-14)</t>
  </si>
  <si>
    <t>Задолженность населения на 01.01.2015 г.по содержанию</t>
  </si>
  <si>
    <t>Задолженность населения на 01.01.2015 г.по текущ. ремонту</t>
  </si>
  <si>
    <t>Телефон для справок: 20-14-14</t>
  </si>
  <si>
    <t>Задолженность квартиросъемщиков на     01.01.2016 г.  по текущему ремонту</t>
  </si>
  <si>
    <t>Задолженность квартиросъемщиков на     01.01.2016 г.  по содержанию общего имущества</t>
  </si>
  <si>
    <t>ИТОГО задолженность квартиросъемщиков на 01.01.2016 г.</t>
  </si>
  <si>
    <t>с 01.01.2015 г. по 31.12.2015 г.</t>
  </si>
  <si>
    <t>рома</t>
  </si>
  <si>
    <t>ш</t>
  </si>
  <si>
    <t>к</t>
  </si>
  <si>
    <t>с</t>
  </si>
  <si>
    <t>г</t>
  </si>
  <si>
    <t>р</t>
  </si>
  <si>
    <t>д</t>
  </si>
  <si>
    <t xml:space="preserve">Набережная </t>
  </si>
  <si>
    <t>Пролетарская</t>
  </si>
  <si>
    <t>ХВС</t>
  </si>
  <si>
    <t>сод+рем</t>
  </si>
  <si>
    <t>дом</t>
  </si>
  <si>
    <t>корп</t>
  </si>
  <si>
    <t>улица</t>
  </si>
  <si>
    <t>с 2009 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</si>
</sst>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rgb="FF000000"/>
      <name val="Mang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0">
    <xf numFmtId="0" fontId="1" fillId="0" borderId="0" xfId="0" applyFont="1"/>
    <xf numFmtId="0" fontId="2" fillId="2" borderId="0" xfId="1" applyFill="1"/>
    <xf numFmtId="0" fontId="2" fillId="2" borderId="4" xfId="1" applyFill="1" applyBorder="1"/>
    <xf numFmtId="0" fontId="2" fillId="2" borderId="5" xfId="1" applyFill="1" applyBorder="1"/>
    <xf numFmtId="0" fontId="7" fillId="2" borderId="6" xfId="1" applyFont="1" applyFill="1" applyBorder="1" applyAlignment="1">
      <alignment vertical="top" wrapText="1"/>
    </xf>
    <xf numFmtId="0" fontId="5" fillId="2" borderId="0" xfId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vertical="top" wrapText="1"/>
    </xf>
    <xf numFmtId="4" fontId="1" fillId="0" borderId="0" xfId="0" applyNumberFormat="1" applyFont="1"/>
    <xf numFmtId="4" fontId="9" fillId="2" borderId="10" xfId="1" applyNumberFormat="1" applyFont="1" applyFill="1" applyBorder="1" applyAlignment="1">
      <alignment horizontal="right" vertical="top" wrapText="1"/>
    </xf>
    <xf numFmtId="4" fontId="7" fillId="2" borderId="10" xfId="1" applyNumberFormat="1" applyFont="1" applyFill="1" applyBorder="1" applyAlignment="1">
      <alignment horizontal="right" wrapText="1"/>
    </xf>
    <xf numFmtId="4" fontId="9" fillId="2" borderId="10" xfId="1" applyNumberFormat="1" applyFont="1" applyFill="1" applyBorder="1" applyAlignment="1">
      <alignment horizontal="right" wrapText="1"/>
    </xf>
    <xf numFmtId="4" fontId="7" fillId="2" borderId="0" xfId="1" applyNumberFormat="1" applyFont="1" applyFill="1" applyBorder="1" applyAlignment="1">
      <alignment horizontal="right" vertical="center" wrapText="1"/>
    </xf>
    <xf numFmtId="4" fontId="7" fillId="2" borderId="10" xfId="1" applyNumberFormat="1" applyFont="1" applyFill="1" applyBorder="1" applyAlignment="1">
      <alignment horizontal="right" vertical="center" wrapText="1"/>
    </xf>
    <xf numFmtId="4" fontId="6" fillId="2" borderId="0" xfId="1" applyNumberFormat="1" applyFont="1" applyFill="1" applyBorder="1" applyAlignment="1">
      <alignment horizontal="right" wrapText="1"/>
    </xf>
    <xf numFmtId="4" fontId="9" fillId="2" borderId="10" xfId="1" applyNumberFormat="1" applyFont="1" applyFill="1" applyBorder="1" applyAlignment="1">
      <alignment horizontal="left" vertical="top" wrapText="1" indent="2"/>
    </xf>
    <xf numFmtId="0" fontId="9" fillId="2" borderId="0" xfId="1" applyFont="1" applyFill="1" applyBorder="1" applyAlignment="1">
      <alignment horizontal="left" vertical="top" wrapText="1"/>
    </xf>
    <xf numFmtId="4" fontId="9" fillId="2" borderId="0" xfId="1" applyNumberFormat="1" applyFont="1" applyFill="1" applyBorder="1" applyAlignment="1">
      <alignment horizontal="left" vertical="top" wrapText="1" indent="2"/>
    </xf>
    <xf numFmtId="4" fontId="9" fillId="2" borderId="0" xfId="1" applyNumberFormat="1" applyFont="1" applyFill="1" applyBorder="1" applyAlignment="1">
      <alignment horizontal="center" vertical="top" wrapText="1"/>
    </xf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13" xfId="0" applyFont="1" applyBorder="1"/>
    <xf numFmtId="0" fontId="1" fillId="0" borderId="15" xfId="0" applyFont="1" applyBorder="1"/>
    <xf numFmtId="4" fontId="9" fillId="2" borderId="10" xfId="1" applyNumberFormat="1" applyFont="1" applyFill="1" applyBorder="1" applyAlignment="1">
      <alignment horizontal="center" vertical="center" wrapText="1"/>
    </xf>
    <xf numFmtId="4" fontId="6" fillId="2" borderId="17" xfId="1" applyNumberFormat="1" applyFont="1" applyFill="1" applyBorder="1" applyAlignment="1">
      <alignment horizontal="right" wrapText="1"/>
    </xf>
    <xf numFmtId="0" fontId="2" fillId="2" borderId="0" xfId="1" applyFont="1" applyFill="1" applyBorder="1" applyAlignment="1">
      <alignment horizontal="left" vertical="top" wrapText="1" indent="5"/>
    </xf>
    <xf numFmtId="4" fontId="9" fillId="2" borderId="10" xfId="1" applyNumberFormat="1" applyFont="1" applyFill="1" applyBorder="1" applyAlignment="1">
      <alignment horizontal="left" vertical="center" wrapText="1" indent="2"/>
    </xf>
    <xf numFmtId="4" fontId="7" fillId="2" borderId="10" xfId="1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/>
    <xf numFmtId="0" fontId="1" fillId="0" borderId="0" xfId="0" applyFont="1" applyBorder="1" applyAlignment="1"/>
    <xf numFmtId="0" fontId="11" fillId="2" borderId="0" xfId="1" applyFont="1" applyFill="1" applyBorder="1" applyAlignment="1">
      <alignment horizontal="left" vertical="top" wrapText="1"/>
    </xf>
    <xf numFmtId="0" fontId="7" fillId="2" borderId="7" xfId="1" applyFont="1" applyFill="1" applyBorder="1" applyAlignment="1">
      <alignment vertical="top" wrapText="1"/>
    </xf>
    <xf numFmtId="0" fontId="7" fillId="2" borderId="7" xfId="1" applyFont="1" applyFill="1" applyBorder="1" applyAlignment="1">
      <alignment vertical="top" wrapText="1"/>
    </xf>
    <xf numFmtId="0" fontId="7" fillId="2" borderId="7" xfId="1" applyFont="1" applyFill="1" applyBorder="1" applyAlignment="1">
      <alignment vertical="top" wrapText="1"/>
    </xf>
    <xf numFmtId="0" fontId="7" fillId="2" borderId="7" xfId="1" applyFont="1" applyFill="1" applyBorder="1" applyAlignment="1">
      <alignment vertical="top" wrapText="1"/>
    </xf>
    <xf numFmtId="9" fontId="1" fillId="0" borderId="0" xfId="0" applyNumberFormat="1" applyFont="1"/>
    <xf numFmtId="0" fontId="7" fillId="2" borderId="7" xfId="1" applyFont="1" applyFill="1" applyBorder="1" applyAlignment="1">
      <alignment vertical="top" wrapText="1"/>
    </xf>
    <xf numFmtId="0" fontId="1" fillId="0" borderId="10" xfId="0" applyFont="1" applyBorder="1"/>
    <xf numFmtId="4" fontId="1" fillId="0" borderId="10" xfId="0" applyNumberFormat="1" applyFont="1" applyBorder="1"/>
    <xf numFmtId="0" fontId="13" fillId="0" borderId="10" xfId="0" applyFont="1" applyBorder="1"/>
    <xf numFmtId="4" fontId="13" fillId="0" borderId="10" xfId="0" applyNumberFormat="1" applyFont="1" applyBorder="1"/>
    <xf numFmtId="0" fontId="14" fillId="0" borderId="10" xfId="0" applyFont="1" applyBorder="1"/>
    <xf numFmtId="4" fontId="14" fillId="0" borderId="10" xfId="0" applyNumberFormat="1" applyFont="1" applyBorder="1"/>
    <xf numFmtId="0" fontId="7" fillId="2" borderId="12" xfId="1" applyFont="1" applyFill="1" applyBorder="1" applyAlignment="1">
      <alignment horizontal="left" vertical="top" wrapText="1"/>
    </xf>
    <xf numFmtId="0" fontId="6" fillId="2" borderId="10" xfId="1" applyFont="1" applyFill="1" applyBorder="1" applyAlignment="1">
      <alignment vertical="top" wrapText="1"/>
    </xf>
    <xf numFmtId="0" fontId="6" fillId="2" borderId="7" xfId="1" applyFont="1" applyFill="1" applyBorder="1" applyAlignment="1">
      <alignment horizontal="center" vertical="top" wrapText="1"/>
    </xf>
    <xf numFmtId="0" fontId="7" fillId="2" borderId="10" xfId="1" applyFont="1" applyFill="1" applyBorder="1" applyAlignment="1">
      <alignment horizontal="center" vertical="top" wrapText="1"/>
    </xf>
    <xf numFmtId="0" fontId="10" fillId="2" borderId="14" xfId="1" applyFont="1" applyFill="1" applyBorder="1" applyAlignment="1">
      <alignment horizontal="left" vertical="top" wrapText="1" indent="2"/>
    </xf>
    <xf numFmtId="0" fontId="9" fillId="2" borderId="10" xfId="1" applyFont="1" applyFill="1" applyBorder="1" applyAlignment="1">
      <alignment horizontal="left" vertical="top" wrapText="1"/>
    </xf>
    <xf numFmtId="0" fontId="6" fillId="2" borderId="11" xfId="1" applyFont="1" applyFill="1" applyBorder="1" applyAlignment="1">
      <alignment horizontal="left" vertical="top" wrapText="1" indent="2"/>
    </xf>
    <xf numFmtId="0" fontId="6" fillId="2" borderId="0" xfId="1" applyFont="1" applyFill="1" applyBorder="1" applyAlignment="1">
      <alignment horizontal="left" vertical="top" wrapText="1" indent="2"/>
    </xf>
    <xf numFmtId="0" fontId="9" fillId="2" borderId="12" xfId="1" applyFont="1" applyFill="1" applyBorder="1" applyAlignment="1">
      <alignment horizontal="left" vertical="top" wrapText="1"/>
    </xf>
    <xf numFmtId="0" fontId="9" fillId="2" borderId="7" xfId="1" applyFont="1" applyFill="1" applyBorder="1" applyAlignment="1">
      <alignment horizontal="left" vertical="top" wrapText="1"/>
    </xf>
    <xf numFmtId="0" fontId="9" fillId="2" borderId="18" xfId="1" applyFont="1" applyFill="1" applyBorder="1" applyAlignment="1">
      <alignment horizontal="left" vertical="top" wrapText="1"/>
    </xf>
    <xf numFmtId="0" fontId="9" fillId="2" borderId="12" xfId="1" applyFont="1" applyFill="1" applyBorder="1" applyAlignment="1">
      <alignment horizontal="left" wrapText="1"/>
    </xf>
    <xf numFmtId="0" fontId="9" fillId="2" borderId="7" xfId="1" applyFont="1" applyFill="1" applyBorder="1" applyAlignment="1">
      <alignment horizontal="left" wrapText="1"/>
    </xf>
    <xf numFmtId="0" fontId="9" fillId="2" borderId="18" xfId="1" applyFont="1" applyFill="1" applyBorder="1" applyAlignment="1">
      <alignment horizontal="left" wrapText="1"/>
    </xf>
    <xf numFmtId="0" fontId="7" fillId="2" borderId="7" xfId="1" applyFont="1" applyFill="1" applyBorder="1" applyAlignment="1">
      <alignment horizontal="left" vertical="top" wrapText="1"/>
    </xf>
    <xf numFmtId="0" fontId="7" fillId="2" borderId="18" xfId="1" applyFont="1" applyFill="1" applyBorder="1" applyAlignment="1">
      <alignment horizontal="left" vertical="top" wrapText="1"/>
    </xf>
    <xf numFmtId="0" fontId="7" fillId="2" borderId="10" xfId="1" applyFont="1" applyFill="1" applyBorder="1" applyAlignment="1">
      <alignment horizontal="left" vertical="top" wrapText="1"/>
    </xf>
    <xf numFmtId="0" fontId="6" fillId="2" borderId="11" xfId="1" applyFont="1" applyFill="1" applyBorder="1" applyAlignment="1">
      <alignment horizontal="center" vertical="top" wrapText="1"/>
    </xf>
    <xf numFmtId="0" fontId="9" fillId="2" borderId="12" xfId="1" applyFont="1" applyFill="1" applyBorder="1" applyAlignment="1">
      <alignment vertical="top" wrapText="1"/>
    </xf>
    <xf numFmtId="0" fontId="9" fillId="2" borderId="7" xfId="1" applyFont="1" applyFill="1" applyBorder="1" applyAlignment="1">
      <alignment vertical="top" wrapText="1"/>
    </xf>
    <xf numFmtId="0" fontId="9" fillId="2" borderId="18" xfId="1" applyFont="1" applyFill="1" applyBorder="1" applyAlignment="1">
      <alignment vertical="top" wrapText="1"/>
    </xf>
    <xf numFmtId="0" fontId="7" fillId="2" borderId="12" xfId="1" applyFont="1" applyFill="1" applyBorder="1" applyAlignment="1">
      <alignment vertical="top" wrapText="1"/>
    </xf>
    <xf numFmtId="0" fontId="7" fillId="2" borderId="7" xfId="1" applyFont="1" applyFill="1" applyBorder="1" applyAlignment="1">
      <alignment vertical="top" wrapText="1"/>
    </xf>
    <xf numFmtId="0" fontId="7" fillId="2" borderId="18" xfId="1" applyFont="1" applyFill="1" applyBorder="1" applyAlignment="1">
      <alignment vertical="top" wrapText="1"/>
    </xf>
    <xf numFmtId="0" fontId="6" fillId="2" borderId="12" xfId="1" applyFont="1" applyFill="1" applyBorder="1" applyAlignment="1">
      <alignment vertical="top" wrapText="1"/>
    </xf>
    <xf numFmtId="0" fontId="6" fillId="2" borderId="7" xfId="1" applyFont="1" applyFill="1" applyBorder="1" applyAlignment="1">
      <alignment vertical="top" wrapText="1"/>
    </xf>
    <xf numFmtId="0" fontId="6" fillId="2" borderId="18" xfId="1" applyFont="1" applyFill="1" applyBorder="1" applyAlignment="1">
      <alignment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vertical="top" wrapText="1"/>
    </xf>
    <xf numFmtId="0" fontId="5" fillId="2" borderId="0" xfId="1" applyFont="1" applyFill="1" applyBorder="1" applyAlignment="1">
      <alignment horizontal="center" vertical="top" wrapText="1"/>
    </xf>
    <xf numFmtId="0" fontId="6" fillId="2" borderId="0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left" vertical="top" wrapText="1"/>
    </xf>
    <xf numFmtId="0" fontId="8" fillId="2" borderId="20" xfId="1" applyFont="1" applyFill="1" applyBorder="1" applyAlignment="1">
      <alignment vertical="top" wrapText="1"/>
    </xf>
    <xf numFmtId="0" fontId="8" fillId="2" borderId="21" xfId="1" applyFont="1" applyFill="1" applyBorder="1" applyAlignment="1">
      <alignment vertical="top" wrapText="1"/>
    </xf>
    <xf numFmtId="0" fontId="8" fillId="2" borderId="22" xfId="1" applyFont="1" applyFill="1" applyBorder="1" applyAlignment="1">
      <alignment vertical="top" wrapText="1"/>
    </xf>
    <xf numFmtId="4" fontId="9" fillId="2" borderId="9" xfId="1" applyNumberFormat="1" applyFont="1" applyFill="1" applyBorder="1" applyAlignment="1">
      <alignment horizontal="center" vertical="center" wrapText="1"/>
    </xf>
    <xf numFmtId="4" fontId="9" fillId="2" borderId="19" xfId="1" applyNumberFormat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left" vertical="top" wrapText="1" indent="2"/>
    </xf>
    <xf numFmtId="0" fontId="6" fillId="2" borderId="23" xfId="1" applyFont="1" applyFill="1" applyBorder="1" applyAlignment="1">
      <alignment horizontal="center" vertical="top" wrapText="1"/>
    </xf>
    <xf numFmtId="0" fontId="8" fillId="2" borderId="8" xfId="1" applyFont="1" applyFill="1" applyBorder="1" applyAlignment="1">
      <alignment vertical="top" wrapText="1"/>
    </xf>
    <xf numFmtId="4" fontId="9" fillId="2" borderId="16" xfId="1" applyNumberFormat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left" vertical="top" wrapText="1" indent="2"/>
    </xf>
    <xf numFmtId="0" fontId="9" fillId="2" borderId="10" xfId="1" applyFont="1" applyFill="1" applyBorder="1" applyAlignment="1">
      <alignment vertical="top" wrapText="1"/>
    </xf>
    <xf numFmtId="0" fontId="7" fillId="2" borderId="10" xfId="1" applyFont="1" applyFill="1" applyBorder="1" applyAlignment="1">
      <alignment vertical="top" wrapText="1"/>
    </xf>
    <xf numFmtId="0" fontId="2" fillId="2" borderId="14" xfId="1" applyFont="1" applyFill="1" applyBorder="1" applyAlignment="1">
      <alignment horizontal="left" vertical="top" wrapText="1" indent="5"/>
    </xf>
  </cellXfs>
  <cellStyles count="2">
    <cellStyle name="TableStyleLight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44"/>
  <sheetViews>
    <sheetView tabSelected="1" zoomScalePageLayoutView="60" workbookViewId="0">
      <selection activeCell="J20" sqref="J20"/>
    </sheetView>
  </sheetViews>
  <sheetFormatPr defaultRowHeight="15"/>
  <cols>
    <col min="1" max="1" width="8.44140625"/>
    <col min="2" max="2" width="4.6640625" customWidth="1"/>
    <col min="3" max="4" width="7.44140625"/>
    <col min="5" max="5" width="11.88671875"/>
    <col min="6" max="6" width="11.44140625" customWidth="1"/>
    <col min="7" max="7" width="14.77734375"/>
    <col min="8" max="8" width="11.88671875" customWidth="1"/>
    <col min="9" max="9" width="6.33203125"/>
    <col min="10" max="10" width="12.109375" customWidth="1"/>
    <col min="11" max="12" width="8.44140625"/>
    <col min="13" max="1025" width="7.44140625"/>
  </cols>
  <sheetData>
    <row r="1" spans="1:9" ht="3.75" customHeight="1">
      <c r="A1" s="1"/>
      <c r="B1" s="1"/>
      <c r="C1" s="1"/>
      <c r="D1" s="1"/>
      <c r="E1" s="1"/>
      <c r="F1" s="1"/>
      <c r="G1" s="1"/>
      <c r="H1" s="1"/>
      <c r="I1" s="1"/>
    </row>
    <row r="3" spans="1:9" ht="15.75" thickBot="1"/>
    <row r="4" spans="1:9" ht="22.5" customHeight="1">
      <c r="B4" s="70" t="s">
        <v>0</v>
      </c>
      <c r="C4" s="71"/>
      <c r="D4" s="71"/>
      <c r="E4" s="71"/>
      <c r="F4" s="71"/>
      <c r="G4" s="71"/>
      <c r="H4" s="72"/>
    </row>
    <row r="5" spans="1:9" ht="15" customHeight="1">
      <c r="B5" s="2"/>
      <c r="C5" s="73" t="s">
        <v>1</v>
      </c>
      <c r="D5" s="73"/>
      <c r="E5" s="73"/>
      <c r="F5" s="73"/>
      <c r="G5" s="73"/>
      <c r="H5" s="3"/>
    </row>
    <row r="6" spans="1:9" ht="18.75" customHeight="1">
      <c r="B6" s="2"/>
      <c r="C6" s="74" t="s">
        <v>59</v>
      </c>
      <c r="D6" s="74"/>
      <c r="E6" s="74"/>
      <c r="F6" s="74"/>
      <c r="G6" s="74"/>
      <c r="H6" s="3"/>
    </row>
    <row r="7" spans="1:9" ht="18.75" customHeight="1">
      <c r="B7" s="2"/>
      <c r="C7" s="75" t="s">
        <v>2</v>
      </c>
      <c r="D7" s="75"/>
      <c r="E7" s="75"/>
      <c r="F7" s="75"/>
      <c r="G7" s="75"/>
      <c r="H7" s="3"/>
    </row>
    <row r="8" spans="1:9" ht="15.75" customHeight="1">
      <c r="B8" s="2"/>
      <c r="C8" s="76" t="s">
        <v>3</v>
      </c>
      <c r="D8" s="76"/>
      <c r="E8" s="76"/>
      <c r="F8" s="76"/>
      <c r="G8" s="4">
        <v>169</v>
      </c>
      <c r="H8" s="3"/>
    </row>
    <row r="9" spans="1:9" ht="15.75" customHeight="1">
      <c r="B9" s="2"/>
      <c r="C9" s="57" t="s">
        <v>4</v>
      </c>
      <c r="D9" s="57"/>
      <c r="E9" s="57"/>
      <c r="F9" s="57"/>
      <c r="G9" s="31">
        <v>4519.2</v>
      </c>
      <c r="H9" s="3"/>
    </row>
    <row r="10" spans="1:9" ht="4.5" customHeight="1" thickBot="1">
      <c r="B10" s="2"/>
      <c r="C10" s="5"/>
      <c r="D10" s="5"/>
      <c r="E10" s="5"/>
      <c r="F10" s="5"/>
      <c r="G10" s="6"/>
      <c r="H10" s="3"/>
    </row>
    <row r="11" spans="1:9" ht="33.75" customHeight="1" thickBot="1">
      <c r="B11" s="2"/>
      <c r="C11" s="77" t="s">
        <v>53</v>
      </c>
      <c r="D11" s="78"/>
      <c r="E11" s="79"/>
      <c r="F11" s="80">
        <v>502533.16</v>
      </c>
      <c r="G11" s="81"/>
      <c r="H11" s="3"/>
    </row>
    <row r="12" spans="1:9" ht="5.25" customHeight="1" thickBot="1">
      <c r="B12" s="2"/>
      <c r="C12" s="82"/>
      <c r="D12" s="82"/>
      <c r="E12" s="82"/>
      <c r="F12" s="82"/>
      <c r="G12" s="82"/>
      <c r="H12" s="3"/>
    </row>
    <row r="13" spans="1:9" ht="48.75" customHeight="1" thickBot="1">
      <c r="B13" s="2"/>
      <c r="C13" s="77" t="s">
        <v>54</v>
      </c>
      <c r="D13" s="78"/>
      <c r="E13" s="79"/>
      <c r="F13" s="80">
        <v>125069.13</v>
      </c>
      <c r="G13" s="81"/>
      <c r="H13" s="3"/>
    </row>
    <row r="14" spans="1:9" ht="18.75" customHeight="1">
      <c r="B14" s="2"/>
      <c r="C14" s="83" t="s">
        <v>5</v>
      </c>
      <c r="D14" s="83"/>
      <c r="E14" s="83"/>
      <c r="F14" s="83"/>
      <c r="G14" s="83"/>
      <c r="H14" s="3"/>
    </row>
    <row r="15" spans="1:9" ht="15.75" customHeight="1">
      <c r="B15" s="2"/>
      <c r="C15" s="61" t="s">
        <v>6</v>
      </c>
      <c r="D15" s="62"/>
      <c r="E15" s="63"/>
      <c r="F15" s="8" t="s">
        <v>7</v>
      </c>
      <c r="G15" s="8" t="s">
        <v>8</v>
      </c>
      <c r="H15" s="3"/>
    </row>
    <row r="16" spans="1:9" ht="15.75" customHeight="1">
      <c r="B16" s="2"/>
      <c r="C16" s="64" t="s">
        <v>9</v>
      </c>
      <c r="D16" s="65"/>
      <c r="E16" s="66"/>
      <c r="F16" s="9">
        <f>225504.61+91253.04+1006368.01</f>
        <v>1323125.6599999999</v>
      </c>
      <c r="G16" s="9">
        <f>259613.7+93741.83+910643.82</f>
        <v>1263999.3500000001</v>
      </c>
      <c r="H16" s="3"/>
    </row>
    <row r="17" spans="2:10" ht="15.75" customHeight="1">
      <c r="B17" s="2"/>
      <c r="C17" s="64" t="s">
        <v>10</v>
      </c>
      <c r="D17" s="65"/>
      <c r="E17" s="66"/>
      <c r="F17" s="9">
        <f>67864.53+201593.45</f>
        <v>269457.98</v>
      </c>
      <c r="G17" s="9">
        <f>69453.9+182418.19</f>
        <v>251872.09</v>
      </c>
      <c r="H17" s="3"/>
    </row>
    <row r="18" spans="2:10" ht="33.75" customHeight="1">
      <c r="B18" s="2"/>
      <c r="C18" s="64" t="s">
        <v>45</v>
      </c>
      <c r="D18" s="65"/>
      <c r="E18" s="66"/>
      <c r="F18" s="12">
        <f>7524.2+21932.74</f>
        <v>29456.940000000002</v>
      </c>
      <c r="G18" s="12">
        <f>6178.91+18792.32</f>
        <v>24971.23</v>
      </c>
      <c r="H18" s="3"/>
    </row>
    <row r="19" spans="2:10" ht="18.75" customHeight="1">
      <c r="B19" s="2"/>
      <c r="C19" s="67" t="s">
        <v>11</v>
      </c>
      <c r="D19" s="68"/>
      <c r="E19" s="69"/>
      <c r="F19" s="10">
        <f>SUM(F16:F18)</f>
        <v>1622040.5799999998</v>
      </c>
      <c r="G19" s="10">
        <f>SUM(G16:G18)</f>
        <v>1540842.6700000002</v>
      </c>
      <c r="H19" s="3"/>
      <c r="J19" s="7">
        <f>F19-G19</f>
        <v>81197.909999999683</v>
      </c>
    </row>
    <row r="20" spans="2:10" ht="18.75" customHeight="1">
      <c r="B20" s="2"/>
      <c r="C20" s="60" t="s">
        <v>12</v>
      </c>
      <c r="D20" s="60"/>
      <c r="E20" s="60"/>
      <c r="F20" s="60"/>
      <c r="G20" s="60"/>
      <c r="H20" s="3"/>
    </row>
    <row r="21" spans="2:10" ht="20.25" customHeight="1">
      <c r="B21" s="2"/>
      <c r="C21" s="43" t="s">
        <v>42</v>
      </c>
      <c r="D21" s="57"/>
      <c r="E21" s="58"/>
      <c r="F21" s="9">
        <f>F18</f>
        <v>29456.940000000002</v>
      </c>
      <c r="G21" s="11"/>
      <c r="H21" s="3"/>
    </row>
    <row r="22" spans="2:10" ht="15.75" customHeight="1">
      <c r="B22" s="2"/>
      <c r="C22" s="43" t="s">
        <v>13</v>
      </c>
      <c r="D22" s="57"/>
      <c r="E22" s="58"/>
      <c r="F22" s="9">
        <f>SUM(F23:F29)</f>
        <v>1423020.85</v>
      </c>
      <c r="G22" s="11"/>
      <c r="H22" s="3"/>
      <c r="J22" s="7"/>
    </row>
    <row r="23" spans="2:10" ht="15.75" customHeight="1">
      <c r="B23" s="2"/>
      <c r="C23" s="43" t="s">
        <v>14</v>
      </c>
      <c r="D23" s="57"/>
      <c r="E23" s="58"/>
      <c r="F23" s="12">
        <f>46980.12+3832.58+164394.66</f>
        <v>215207.36000000002</v>
      </c>
      <c r="G23" s="11"/>
      <c r="H23" s="3"/>
    </row>
    <row r="24" spans="2:10" ht="15.75" customHeight="1">
      <c r="B24" s="2"/>
      <c r="C24" s="43" t="s">
        <v>15</v>
      </c>
      <c r="D24" s="57"/>
      <c r="E24" s="58"/>
      <c r="F24" s="12">
        <f>115860+350080</f>
        <v>465940</v>
      </c>
      <c r="G24" s="11"/>
      <c r="H24" s="3"/>
    </row>
    <row r="25" spans="2:10" ht="15.75" customHeight="1">
      <c r="B25" s="2"/>
      <c r="C25" s="43" t="s">
        <v>16</v>
      </c>
      <c r="D25" s="57"/>
      <c r="E25" s="58"/>
      <c r="F25" s="12">
        <f>29053.49+93996.95</f>
        <v>123050.44</v>
      </c>
      <c r="G25" s="11"/>
      <c r="H25" s="3"/>
    </row>
    <row r="26" spans="2:10" ht="15.75" customHeight="1">
      <c r="B26" s="2"/>
      <c r="C26" s="59" t="s">
        <v>17</v>
      </c>
      <c r="D26" s="59"/>
      <c r="E26" s="59"/>
      <c r="F26" s="12">
        <f>33256.98+6305.22+127995.84</f>
        <v>167558.04</v>
      </c>
      <c r="G26" s="11"/>
      <c r="H26" s="3"/>
    </row>
    <row r="27" spans="2:10" ht="15.75" customHeight="1">
      <c r="B27" s="2"/>
      <c r="C27" s="59" t="s">
        <v>18</v>
      </c>
      <c r="D27" s="59"/>
      <c r="E27" s="59"/>
      <c r="F27" s="12">
        <f>21635.58+69997.73</f>
        <v>91633.31</v>
      </c>
      <c r="G27" s="11"/>
      <c r="H27" s="3"/>
    </row>
    <row r="28" spans="2:10" ht="15.75" customHeight="1">
      <c r="B28" s="2"/>
      <c r="C28" s="59" t="s">
        <v>19</v>
      </c>
      <c r="D28" s="59"/>
      <c r="E28" s="59"/>
      <c r="F28" s="12">
        <f>42529.37+137595.53</f>
        <v>180124.9</v>
      </c>
      <c r="G28" s="11"/>
      <c r="H28" s="3"/>
    </row>
    <row r="29" spans="2:10" ht="48.75" customHeight="1">
      <c r="B29" s="2"/>
      <c r="C29" s="43" t="s">
        <v>29</v>
      </c>
      <c r="D29" s="43"/>
      <c r="E29" s="43"/>
      <c r="F29" s="12">
        <f>2719.9+39191.37+137595.53</f>
        <v>179506.8</v>
      </c>
      <c r="G29" s="11"/>
      <c r="H29" s="3"/>
    </row>
    <row r="30" spans="2:10" ht="15.75" customHeight="1">
      <c r="B30" s="2"/>
      <c r="C30" s="43" t="s">
        <v>10</v>
      </c>
      <c r="D30" s="43"/>
      <c r="E30" s="43"/>
      <c r="F30" s="12">
        <f>1435+6945+1315+4851+1883+1996+1518+40648+1941+8456+69278</f>
        <v>140266</v>
      </c>
      <c r="G30" s="11"/>
      <c r="H30" s="3"/>
    </row>
    <row r="31" spans="2:10" ht="18.75" customHeight="1">
      <c r="B31" s="2"/>
      <c r="C31" s="44" t="s">
        <v>20</v>
      </c>
      <c r="D31" s="44"/>
      <c r="E31" s="44"/>
      <c r="F31" s="10">
        <f>F21+F22+F30</f>
        <v>1592743.79</v>
      </c>
      <c r="G31" s="24"/>
      <c r="H31" s="3"/>
    </row>
    <row r="32" spans="2:10" ht="6" customHeight="1">
      <c r="B32" s="2"/>
      <c r="C32" s="45"/>
      <c r="D32" s="45"/>
      <c r="E32" s="45"/>
      <c r="F32" s="45"/>
      <c r="G32" s="13"/>
      <c r="H32" s="3"/>
    </row>
    <row r="33" spans="2:10" ht="15.75" customHeight="1">
      <c r="B33" s="2"/>
      <c r="C33" s="46" t="s">
        <v>43</v>
      </c>
      <c r="D33" s="46"/>
      <c r="E33" s="46"/>
      <c r="F33" s="10">
        <f>557.94+3060.35</f>
        <v>3618.29</v>
      </c>
      <c r="G33" s="10">
        <f>571.31+2702.43</f>
        <v>3273.74</v>
      </c>
      <c r="H33" s="3"/>
      <c r="J33" s="7">
        <f>F33-G33</f>
        <v>344.55000000000018</v>
      </c>
    </row>
    <row r="34" spans="2:10" ht="15.75" customHeight="1">
      <c r="B34" s="2"/>
      <c r="C34" s="46" t="s">
        <v>44</v>
      </c>
      <c r="D34" s="46"/>
      <c r="E34" s="46"/>
      <c r="F34" s="10"/>
      <c r="G34" s="10"/>
      <c r="H34" s="3"/>
    </row>
    <row r="35" spans="2:10" ht="3.75" customHeight="1">
      <c r="B35" s="2"/>
      <c r="C35" s="49"/>
      <c r="D35" s="49"/>
      <c r="E35" s="49"/>
      <c r="F35" s="49"/>
      <c r="G35" s="50"/>
      <c r="H35" s="3"/>
    </row>
    <row r="36" spans="2:10" ht="29.25" customHeight="1">
      <c r="B36" s="2"/>
      <c r="C36" s="51" t="s">
        <v>56</v>
      </c>
      <c r="D36" s="52"/>
      <c r="E36" s="52"/>
      <c r="F36" s="53"/>
      <c r="G36" s="14">
        <f>F30-G17+F13</f>
        <v>13463.040000000008</v>
      </c>
      <c r="H36" s="3"/>
    </row>
    <row r="37" spans="2:10" ht="8.25" customHeight="1">
      <c r="B37" s="2"/>
      <c r="C37" s="15"/>
      <c r="D37" s="15"/>
      <c r="E37" s="15"/>
      <c r="F37" s="15"/>
      <c r="G37" s="16"/>
      <c r="H37" s="3"/>
    </row>
    <row r="38" spans="2:10" ht="45.75" customHeight="1">
      <c r="B38" s="2"/>
      <c r="C38" s="54" t="s">
        <v>57</v>
      </c>
      <c r="D38" s="55"/>
      <c r="E38" s="55"/>
      <c r="F38" s="56"/>
      <c r="G38" s="8">
        <f>(F16-G16)+(F18-G18)+F11</f>
        <v>566145.17999999982</v>
      </c>
      <c r="H38" s="3"/>
    </row>
    <row r="39" spans="2:10" ht="8.25" customHeight="1">
      <c r="B39" s="2"/>
      <c r="C39" s="30"/>
      <c r="D39" s="30"/>
      <c r="E39" s="30"/>
      <c r="F39" s="30"/>
      <c r="G39" s="17"/>
      <c r="H39" s="3"/>
    </row>
    <row r="40" spans="2:10" ht="31.5" customHeight="1">
      <c r="B40" s="2"/>
      <c r="C40" s="48" t="s">
        <v>58</v>
      </c>
      <c r="D40" s="48"/>
      <c r="E40" s="48"/>
      <c r="F40" s="48"/>
      <c r="G40" s="14">
        <f>G36+G38</f>
        <v>579608.21999999986</v>
      </c>
      <c r="H40" s="3"/>
    </row>
    <row r="41" spans="2:10">
      <c r="B41" s="18" t="s">
        <v>21</v>
      </c>
      <c r="C41" s="19"/>
      <c r="D41" s="19"/>
      <c r="E41" s="19"/>
      <c r="F41" s="19"/>
      <c r="G41" s="19"/>
      <c r="H41" s="20"/>
    </row>
    <row r="42" spans="2:10">
      <c r="B42" s="18" t="s">
        <v>22</v>
      </c>
      <c r="C42" s="19"/>
      <c r="D42" s="19"/>
      <c r="E42" s="19"/>
      <c r="F42" s="19"/>
      <c r="G42" s="19"/>
      <c r="H42" s="20"/>
    </row>
    <row r="43" spans="2:10">
      <c r="B43" s="28" t="s">
        <v>23</v>
      </c>
      <c r="C43" s="29"/>
      <c r="D43" s="29"/>
      <c r="E43" s="29"/>
      <c r="F43" s="19"/>
      <c r="G43" s="19"/>
      <c r="H43" s="20"/>
    </row>
    <row r="44" spans="2:10" ht="15.75" customHeight="1" thickBot="1">
      <c r="B44" s="21"/>
      <c r="C44" s="47" t="s">
        <v>47</v>
      </c>
      <c r="D44" s="47"/>
      <c r="E44" s="47"/>
      <c r="F44" s="47"/>
      <c r="G44" s="47"/>
      <c r="H44" s="22"/>
    </row>
  </sheetData>
  <mergeCells count="37">
    <mergeCell ref="C14:G14"/>
    <mergeCell ref="C9:F9"/>
    <mergeCell ref="C11:E11"/>
    <mergeCell ref="F11:G11"/>
    <mergeCell ref="C12:G12"/>
    <mergeCell ref="C13:E13"/>
    <mergeCell ref="F13:G13"/>
    <mergeCell ref="B4:H4"/>
    <mergeCell ref="C5:G5"/>
    <mergeCell ref="C6:G6"/>
    <mergeCell ref="C7:G7"/>
    <mergeCell ref="C8:F8"/>
    <mergeCell ref="C15:E15"/>
    <mergeCell ref="C16:E16"/>
    <mergeCell ref="C17:E17"/>
    <mergeCell ref="C18:E18"/>
    <mergeCell ref="C19:E19"/>
    <mergeCell ref="C20:G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F32"/>
    <mergeCell ref="C33:E33"/>
    <mergeCell ref="C44:G44"/>
    <mergeCell ref="C40:F40"/>
    <mergeCell ref="C34:E34"/>
    <mergeCell ref="C35:G35"/>
    <mergeCell ref="C36:F36"/>
    <mergeCell ref="C38:F38"/>
  </mergeCells>
  <pageMargins left="0.31527777777777799" right="0.31527777777777799" top="0" bottom="0" header="0.51180555555555496" footer="0.51180555555555496"/>
  <pageSetup paperSize="9" firstPageNumber="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K41"/>
  <sheetViews>
    <sheetView zoomScalePageLayoutView="60" workbookViewId="0">
      <selection activeCell="K18" sqref="K18"/>
    </sheetView>
  </sheetViews>
  <sheetFormatPr defaultRowHeight="15"/>
  <cols>
    <col min="1" max="1" width="5.21875"/>
    <col min="2" max="2" width="3.88671875" customWidth="1"/>
    <col min="3" max="4" width="7.44140625"/>
    <col min="5" max="5" width="12.44140625"/>
    <col min="6" max="6" width="14.109375"/>
    <col min="7" max="7" width="14.44140625" customWidth="1"/>
    <col min="8" max="8" width="4.44140625"/>
    <col min="9" max="9" width="7.44140625"/>
    <col min="10" max="10" width="10" bestFit="1" customWidth="1"/>
    <col min="11" max="11" width="8.77734375" bestFit="1" customWidth="1"/>
    <col min="12" max="1025" width="7.44140625"/>
  </cols>
  <sheetData>
    <row r="1" spans="2:8" ht="15.75" thickBot="1"/>
    <row r="2" spans="2:8" ht="22.5">
      <c r="B2" s="70" t="s">
        <v>38</v>
      </c>
      <c r="C2" s="71"/>
      <c r="D2" s="71"/>
      <c r="E2" s="71"/>
      <c r="F2" s="71"/>
      <c r="G2" s="71"/>
      <c r="H2" s="72"/>
    </row>
    <row r="3" spans="2:8">
      <c r="B3" s="2"/>
      <c r="C3" s="73" t="s">
        <v>1</v>
      </c>
      <c r="D3" s="73"/>
      <c r="E3" s="73"/>
      <c r="F3" s="73"/>
      <c r="G3" s="73"/>
      <c r="H3" s="3"/>
    </row>
    <row r="4" spans="2:8" ht="18.75">
      <c r="B4" s="2"/>
      <c r="C4" s="74" t="s">
        <v>59</v>
      </c>
      <c r="D4" s="74"/>
      <c r="E4" s="74"/>
      <c r="F4" s="74"/>
      <c r="G4" s="74"/>
      <c r="H4" s="3"/>
    </row>
    <row r="5" spans="2:8" ht="18.75">
      <c r="B5" s="2"/>
      <c r="C5" s="75" t="s">
        <v>39</v>
      </c>
      <c r="D5" s="75"/>
      <c r="E5" s="75"/>
      <c r="F5" s="75"/>
      <c r="G5" s="75"/>
      <c r="H5" s="3"/>
    </row>
    <row r="6" spans="2:8" ht="15.75">
      <c r="B6" s="2"/>
      <c r="C6" s="76" t="s">
        <v>3</v>
      </c>
      <c r="D6" s="76"/>
      <c r="E6" s="76"/>
      <c r="F6" s="76"/>
      <c r="G6" s="4">
        <v>168</v>
      </c>
      <c r="H6" s="3"/>
    </row>
    <row r="7" spans="2:8" ht="15.75">
      <c r="B7" s="2"/>
      <c r="C7" s="57" t="s">
        <v>4</v>
      </c>
      <c r="D7" s="57"/>
      <c r="E7" s="57"/>
      <c r="F7" s="57"/>
      <c r="G7" s="36">
        <v>4553.8</v>
      </c>
      <c r="H7" s="3"/>
    </row>
    <row r="8" spans="2:8" ht="19.5" thickBot="1">
      <c r="B8" s="2"/>
      <c r="C8" s="5"/>
      <c r="D8" s="5"/>
      <c r="E8" s="5"/>
      <c r="F8" s="5"/>
      <c r="G8" s="6"/>
      <c r="H8" s="3"/>
    </row>
    <row r="9" spans="2:8" ht="36" customHeight="1" thickBot="1">
      <c r="B9" s="2"/>
      <c r="C9" s="84" t="s">
        <v>53</v>
      </c>
      <c r="D9" s="84"/>
      <c r="E9" s="84"/>
      <c r="F9" s="80">
        <v>294611.64</v>
      </c>
      <c r="G9" s="85"/>
      <c r="H9" s="3"/>
    </row>
    <row r="10" spans="2:8" ht="15.75" thickBot="1">
      <c r="B10" s="2"/>
      <c r="C10" s="86"/>
      <c r="D10" s="86"/>
      <c r="E10" s="86"/>
      <c r="F10" s="86"/>
      <c r="G10" s="86"/>
      <c r="H10" s="3"/>
    </row>
    <row r="11" spans="2:8" ht="33.75" customHeight="1" thickBot="1">
      <c r="B11" s="2"/>
      <c r="C11" s="84" t="s">
        <v>54</v>
      </c>
      <c r="D11" s="84"/>
      <c r="E11" s="84"/>
      <c r="F11" s="80">
        <v>141068.46</v>
      </c>
      <c r="G11" s="85"/>
      <c r="H11" s="3"/>
    </row>
    <row r="12" spans="2:8" ht="18.75">
      <c r="B12" s="2"/>
      <c r="C12" s="75" t="s">
        <v>5</v>
      </c>
      <c r="D12" s="75"/>
      <c r="E12" s="75"/>
      <c r="F12" s="75"/>
      <c r="G12" s="75"/>
      <c r="H12" s="3"/>
    </row>
    <row r="13" spans="2:8" ht="15.75">
      <c r="B13" s="2"/>
      <c r="C13" s="87" t="s">
        <v>6</v>
      </c>
      <c r="D13" s="87"/>
      <c r="E13" s="87"/>
      <c r="F13" s="8" t="s">
        <v>7</v>
      </c>
      <c r="G13" s="8" t="s">
        <v>8</v>
      </c>
      <c r="H13" s="3"/>
    </row>
    <row r="14" spans="2:8" ht="15.75">
      <c r="B14" s="2"/>
      <c r="C14" s="88" t="s">
        <v>9</v>
      </c>
      <c r="D14" s="88"/>
      <c r="E14" s="88"/>
      <c r="F14" s="27">
        <f>880751.61-184429.14+231423.81</f>
        <v>927746.28</v>
      </c>
      <c r="G14" s="27">
        <f>808556.51-169311.51+204682.81</f>
        <v>843927.81</v>
      </c>
      <c r="H14" s="3"/>
    </row>
    <row r="15" spans="2:8" ht="15.75">
      <c r="B15" s="2"/>
      <c r="C15" s="88" t="s">
        <v>10</v>
      </c>
      <c r="D15" s="88"/>
      <c r="E15" s="88"/>
      <c r="F15" s="27">
        <f>184429.14+62160.06</f>
        <v>246589.2</v>
      </c>
      <c r="G15" s="27">
        <f>169311.51+5477.54</f>
        <v>174789.05000000002</v>
      </c>
      <c r="H15" s="3"/>
    </row>
    <row r="16" spans="2:8" ht="32.25" customHeight="1">
      <c r="B16" s="2"/>
      <c r="C16" s="88" t="s">
        <v>45</v>
      </c>
      <c r="D16" s="88"/>
      <c r="E16" s="88"/>
      <c r="F16" s="27">
        <f>47921.81+15972.63</f>
        <v>63894.439999999995</v>
      </c>
      <c r="G16" s="27">
        <f>44039.34+14118.08</f>
        <v>58157.42</v>
      </c>
      <c r="H16" s="3"/>
    </row>
    <row r="17" spans="2:11" ht="18.75">
      <c r="B17" s="2"/>
      <c r="C17" s="44" t="s">
        <v>11</v>
      </c>
      <c r="D17" s="44"/>
      <c r="E17" s="44"/>
      <c r="F17" s="23">
        <f>SUM(F14:F16)</f>
        <v>1238229.92</v>
      </c>
      <c r="G17" s="23">
        <f>SUM(G14:G16)</f>
        <v>1076874.28</v>
      </c>
      <c r="H17" s="3"/>
      <c r="J17" s="7"/>
      <c r="K17" s="7">
        <f>F17-G17</f>
        <v>161355.6399999999</v>
      </c>
    </row>
    <row r="18" spans="2:11" ht="18.75">
      <c r="B18" s="2"/>
      <c r="C18" s="75" t="s">
        <v>12</v>
      </c>
      <c r="D18" s="75"/>
      <c r="E18" s="75"/>
      <c r="F18" s="75"/>
      <c r="G18" s="75"/>
      <c r="H18" s="3"/>
    </row>
    <row r="19" spans="2:11" ht="15.75">
      <c r="B19" s="2"/>
      <c r="C19" s="59" t="s">
        <v>42</v>
      </c>
      <c r="D19" s="59"/>
      <c r="E19" s="59"/>
      <c r="F19" s="9">
        <f>F16</f>
        <v>63894.439999999995</v>
      </c>
      <c r="G19" s="11"/>
      <c r="H19" s="3"/>
    </row>
    <row r="20" spans="2:11" ht="15.75">
      <c r="B20" s="2"/>
      <c r="C20" s="43" t="s">
        <v>13</v>
      </c>
      <c r="D20" s="57"/>
      <c r="E20" s="58"/>
      <c r="F20" s="9">
        <f>SUM(F21:F26)</f>
        <v>927746.23</v>
      </c>
      <c r="G20" s="11"/>
      <c r="H20" s="3"/>
    </row>
    <row r="21" spans="2:11" ht="15.75">
      <c r="B21" s="2"/>
      <c r="C21" s="43" t="s">
        <v>14</v>
      </c>
      <c r="D21" s="57"/>
      <c r="E21" s="58"/>
      <c r="F21" s="12">
        <f>107378.74+35792.82</f>
        <v>143171.56</v>
      </c>
      <c r="G21" s="11"/>
      <c r="H21" s="3"/>
    </row>
    <row r="22" spans="2:11" ht="15.75">
      <c r="B22" s="2"/>
      <c r="C22" s="59" t="s">
        <v>16</v>
      </c>
      <c r="D22" s="59"/>
      <c r="E22" s="59"/>
      <c r="F22" s="12">
        <f>116805.12+38934.93</f>
        <v>155740.04999999999</v>
      </c>
      <c r="G22" s="11"/>
      <c r="H22" s="3"/>
    </row>
    <row r="23" spans="2:11" ht="15.75">
      <c r="B23" s="2"/>
      <c r="C23" s="59" t="s">
        <v>17</v>
      </c>
      <c r="D23" s="59"/>
      <c r="E23" s="59"/>
      <c r="F23" s="12">
        <f>110247.64+20901.97+43716.41</f>
        <v>174866.02</v>
      </c>
      <c r="G23" s="11"/>
      <c r="H23" s="3"/>
    </row>
    <row r="24" spans="2:11" ht="15.75">
      <c r="B24" s="2"/>
      <c r="C24" s="59" t="s">
        <v>18</v>
      </c>
      <c r="D24" s="59"/>
      <c r="E24" s="59"/>
      <c r="F24" s="12">
        <f>71722.44+23907.41</f>
        <v>95629.85</v>
      </c>
      <c r="G24" s="11"/>
      <c r="H24" s="3"/>
    </row>
    <row r="25" spans="2:11" ht="15.75">
      <c r="B25" s="2"/>
      <c r="C25" s="59" t="s">
        <v>19</v>
      </c>
      <c r="D25" s="59"/>
      <c r="E25" s="59"/>
      <c r="F25" s="12">
        <f>140985.83+46995.15</f>
        <v>187980.97999999998</v>
      </c>
      <c r="G25" s="11"/>
      <c r="H25" s="3"/>
      <c r="J25" t="s">
        <v>66</v>
      </c>
    </row>
    <row r="26" spans="2:11" ht="29.25" customHeight="1">
      <c r="B26" s="2"/>
      <c r="C26" s="43" t="s">
        <v>29</v>
      </c>
      <c r="D26" s="43"/>
      <c r="E26" s="43"/>
      <c r="F26" s="12">
        <f>117214.97+9016.54+2049.21+42077.05</f>
        <v>170357.77000000002</v>
      </c>
      <c r="G26" s="11"/>
      <c r="H26" s="3"/>
      <c r="J26">
        <f>2713+4122+25584+975+4657+243+371+1275</f>
        <v>39940</v>
      </c>
    </row>
    <row r="27" spans="2:11" ht="18" customHeight="1">
      <c r="B27" s="2"/>
      <c r="C27" s="43" t="s">
        <v>10</v>
      </c>
      <c r="D27" s="43"/>
      <c r="E27" s="43"/>
      <c r="F27" s="12">
        <v>39940</v>
      </c>
      <c r="G27" s="11"/>
      <c r="H27" s="3"/>
    </row>
    <row r="28" spans="2:11" ht="18.75">
      <c r="B28" s="2"/>
      <c r="C28" s="44" t="s">
        <v>20</v>
      </c>
      <c r="D28" s="44"/>
      <c r="E28" s="44"/>
      <c r="F28" s="10">
        <f>F19+F20+F27</f>
        <v>1031580.6699999999</v>
      </c>
      <c r="G28" s="24"/>
      <c r="H28" s="3"/>
    </row>
    <row r="29" spans="2:11" ht="18.75">
      <c r="B29" s="2"/>
      <c r="C29" s="45"/>
      <c r="D29" s="45"/>
      <c r="E29" s="45"/>
      <c r="F29" s="45"/>
      <c r="G29" s="13"/>
      <c r="H29" s="3"/>
    </row>
    <row r="30" spans="2:11" ht="15.75">
      <c r="B30" s="2"/>
      <c r="C30" s="46" t="s">
        <v>43</v>
      </c>
      <c r="D30" s="46"/>
      <c r="E30" s="46"/>
      <c r="F30" s="10">
        <f>1593.88+531.24</f>
        <v>2125.12</v>
      </c>
      <c r="G30" s="10">
        <f>1463.27+469.85</f>
        <v>1933.12</v>
      </c>
      <c r="H30" s="3"/>
      <c r="J30" s="7">
        <f>F30-G30</f>
        <v>192</v>
      </c>
    </row>
    <row r="31" spans="2:11" ht="15.75">
      <c r="B31" s="2"/>
      <c r="C31" s="46" t="s">
        <v>44</v>
      </c>
      <c r="D31" s="46"/>
      <c r="E31" s="46"/>
      <c r="F31" s="10"/>
      <c r="G31" s="10"/>
      <c r="H31" s="3"/>
    </row>
    <row r="32" spans="2:11" ht="18.75">
      <c r="B32" s="2"/>
      <c r="C32" s="49"/>
      <c r="D32" s="49"/>
      <c r="E32" s="49"/>
      <c r="F32" s="49"/>
      <c r="G32" s="50"/>
      <c r="H32" s="3"/>
    </row>
    <row r="33" spans="2:8" ht="36" customHeight="1">
      <c r="B33" s="2"/>
      <c r="C33" s="54" t="s">
        <v>56</v>
      </c>
      <c r="D33" s="54"/>
      <c r="E33" s="54"/>
      <c r="F33" s="54"/>
      <c r="G33" s="26">
        <f>F27-G15+F11</f>
        <v>6219.4099999999744</v>
      </c>
      <c r="H33" s="3"/>
    </row>
    <row r="34" spans="2:8" ht="15.75">
      <c r="B34" s="2"/>
      <c r="C34" s="15"/>
      <c r="D34" s="15"/>
      <c r="E34" s="15"/>
      <c r="F34" s="15"/>
      <c r="G34" s="16"/>
      <c r="H34" s="3"/>
    </row>
    <row r="35" spans="2:8" ht="30" customHeight="1">
      <c r="B35" s="2"/>
      <c r="C35" s="48" t="s">
        <v>57</v>
      </c>
      <c r="D35" s="48"/>
      <c r="E35" s="48"/>
      <c r="F35" s="48"/>
      <c r="G35" s="23">
        <f>(F14-G14)+(F16-G16)+F9</f>
        <v>384167.13</v>
      </c>
      <c r="H35" s="3"/>
    </row>
    <row r="36" spans="2:8" ht="15.75">
      <c r="B36" s="2"/>
      <c r="C36" s="30"/>
      <c r="D36" s="30"/>
      <c r="E36" s="30"/>
      <c r="F36" s="30"/>
      <c r="G36" s="17"/>
      <c r="H36" s="3"/>
    </row>
    <row r="37" spans="2:8" ht="32.25" customHeight="1">
      <c r="B37" s="2"/>
      <c r="C37" s="48" t="s">
        <v>58</v>
      </c>
      <c r="D37" s="48"/>
      <c r="E37" s="48"/>
      <c r="F37" s="48"/>
      <c r="G37" s="14">
        <f>G33+G35</f>
        <v>390386.54</v>
      </c>
      <c r="H37" s="3"/>
    </row>
    <row r="38" spans="2:8">
      <c r="B38" s="18" t="s">
        <v>21</v>
      </c>
      <c r="C38" s="19"/>
      <c r="D38" s="19"/>
      <c r="E38" s="19"/>
      <c r="F38" s="19"/>
      <c r="G38" s="19"/>
      <c r="H38" s="20"/>
    </row>
    <row r="39" spans="2:8">
      <c r="B39" s="18" t="s">
        <v>22</v>
      </c>
      <c r="C39" s="19"/>
      <c r="D39" s="19"/>
      <c r="E39" s="19"/>
      <c r="F39" s="19"/>
      <c r="G39" s="19"/>
      <c r="H39" s="20"/>
    </row>
    <row r="40" spans="2:8">
      <c r="B40" s="18" t="s">
        <v>23</v>
      </c>
      <c r="C40" s="19"/>
      <c r="D40" s="19"/>
      <c r="E40" s="19"/>
      <c r="F40" s="19"/>
      <c r="G40" s="19"/>
      <c r="H40" s="20"/>
    </row>
    <row r="41" spans="2:8" ht="15.75" thickBot="1">
      <c r="B41" s="21"/>
      <c r="C41" s="47" t="s">
        <v>52</v>
      </c>
      <c r="D41" s="47"/>
      <c r="E41" s="47"/>
      <c r="F41" s="47"/>
      <c r="G41" s="47"/>
      <c r="H41" s="22"/>
    </row>
  </sheetData>
  <mergeCells count="36">
    <mergeCell ref="B2:H2"/>
    <mergeCell ref="C3:G3"/>
    <mergeCell ref="C4:G4"/>
    <mergeCell ref="C5:G5"/>
    <mergeCell ref="C6:F6"/>
    <mergeCell ref="C7:F7"/>
    <mergeCell ref="C9:E9"/>
    <mergeCell ref="F9:G9"/>
    <mergeCell ref="C10:G10"/>
    <mergeCell ref="C11:E11"/>
    <mergeCell ref="F11:G11"/>
    <mergeCell ref="C12:G12"/>
    <mergeCell ref="C13:E13"/>
    <mergeCell ref="C14:E14"/>
    <mergeCell ref="C15:E15"/>
    <mergeCell ref="C16:E16"/>
    <mergeCell ref="C17:E17"/>
    <mergeCell ref="C18:G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F29"/>
    <mergeCell ref="C30:E30"/>
    <mergeCell ref="C31:E31"/>
    <mergeCell ref="C32:G32"/>
    <mergeCell ref="C33:F33"/>
    <mergeCell ref="C35:F35"/>
    <mergeCell ref="C37:F37"/>
    <mergeCell ref="C41:G41"/>
  </mergeCells>
  <pageMargins left="0.70833333333333304" right="0.70833333333333304" top="0.15763888888888899" bottom="0.15763888888888899" header="0.51180555555555496" footer="0.51180555555555496"/>
  <pageSetup paperSize="9" firstPageNumber="0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K42"/>
  <sheetViews>
    <sheetView topLeftCell="A4" zoomScalePageLayoutView="60" workbookViewId="0">
      <selection activeCell="J19" sqref="J19"/>
    </sheetView>
  </sheetViews>
  <sheetFormatPr defaultRowHeight="15"/>
  <cols>
    <col min="1" max="1" width="5.21875"/>
    <col min="2" max="2" width="4.77734375" customWidth="1"/>
    <col min="3" max="4" width="7.44140625"/>
    <col min="5" max="5" width="13.21875"/>
    <col min="6" max="6" width="14.109375"/>
    <col min="7" max="7" width="14.33203125" customWidth="1"/>
    <col min="8" max="8" width="4.44140625"/>
    <col min="9" max="9" width="7.44140625"/>
    <col min="10" max="10" width="10" bestFit="1" customWidth="1"/>
    <col min="11" max="11" width="8.44140625"/>
    <col min="12" max="1025" width="7.44140625"/>
  </cols>
  <sheetData>
    <row r="2" spans="2:8" ht="15.75" thickBot="1"/>
    <row r="3" spans="2:8" ht="22.5">
      <c r="B3" s="70" t="s">
        <v>40</v>
      </c>
      <c r="C3" s="71"/>
      <c r="D3" s="71"/>
      <c r="E3" s="71"/>
      <c r="F3" s="71"/>
      <c r="G3" s="71"/>
      <c r="H3" s="72"/>
    </row>
    <row r="4" spans="2:8">
      <c r="B4" s="2"/>
      <c r="C4" s="73" t="s">
        <v>1</v>
      </c>
      <c r="D4" s="73"/>
      <c r="E4" s="73"/>
      <c r="F4" s="73"/>
      <c r="G4" s="73"/>
      <c r="H4" s="3"/>
    </row>
    <row r="5" spans="2:8" ht="18.75">
      <c r="B5" s="2"/>
      <c r="C5" s="74" t="s">
        <v>59</v>
      </c>
      <c r="D5" s="74"/>
      <c r="E5" s="74"/>
      <c r="F5" s="74"/>
      <c r="G5" s="74"/>
      <c r="H5" s="3"/>
    </row>
    <row r="6" spans="2:8" ht="18.75">
      <c r="B6" s="2"/>
      <c r="C6" s="75" t="s">
        <v>41</v>
      </c>
      <c r="D6" s="75"/>
      <c r="E6" s="75"/>
      <c r="F6" s="75"/>
      <c r="G6" s="75"/>
      <c r="H6" s="3"/>
    </row>
    <row r="7" spans="2:8" ht="15.75">
      <c r="B7" s="2"/>
      <c r="C7" s="76" t="s">
        <v>3</v>
      </c>
      <c r="D7" s="76"/>
      <c r="E7" s="76"/>
      <c r="F7" s="76"/>
      <c r="G7" s="4">
        <v>214</v>
      </c>
      <c r="H7" s="3"/>
    </row>
    <row r="8" spans="2:8" ht="15.75">
      <c r="B8" s="2"/>
      <c r="C8" s="57" t="s">
        <v>4</v>
      </c>
      <c r="D8" s="57"/>
      <c r="E8" s="57"/>
      <c r="F8" s="57"/>
      <c r="G8" s="36">
        <v>5243.2</v>
      </c>
      <c r="H8" s="3"/>
    </row>
    <row r="9" spans="2:8" ht="19.5" thickBot="1">
      <c r="B9" s="2"/>
      <c r="C9" s="5"/>
      <c r="D9" s="5"/>
      <c r="E9" s="5"/>
      <c r="F9" s="5"/>
      <c r="G9" s="6"/>
      <c r="H9" s="3"/>
    </row>
    <row r="10" spans="2:8" ht="37.5" customHeight="1" thickBot="1">
      <c r="B10" s="2"/>
      <c r="C10" s="84" t="s">
        <v>53</v>
      </c>
      <c r="D10" s="84"/>
      <c r="E10" s="84"/>
      <c r="F10" s="80">
        <v>336875.83</v>
      </c>
      <c r="G10" s="85"/>
      <c r="H10" s="3"/>
    </row>
    <row r="11" spans="2:8" ht="15.75" thickBot="1">
      <c r="B11" s="2"/>
      <c r="C11" s="86"/>
      <c r="D11" s="86"/>
      <c r="E11" s="86"/>
      <c r="F11" s="86"/>
      <c r="G11" s="86"/>
      <c r="H11" s="3"/>
    </row>
    <row r="12" spans="2:8" ht="31.5" customHeight="1" thickBot="1">
      <c r="B12" s="2"/>
      <c r="C12" s="84" t="s">
        <v>54</v>
      </c>
      <c r="D12" s="84"/>
      <c r="E12" s="84"/>
      <c r="F12" s="80">
        <v>-188906.01</v>
      </c>
      <c r="G12" s="85"/>
      <c r="H12" s="3"/>
    </row>
    <row r="13" spans="2:8" ht="18.75">
      <c r="B13" s="2"/>
      <c r="C13" s="75" t="s">
        <v>5</v>
      </c>
      <c r="D13" s="75"/>
      <c r="E13" s="75"/>
      <c r="F13" s="75"/>
      <c r="G13" s="75"/>
      <c r="H13" s="3"/>
    </row>
    <row r="14" spans="2:8" ht="15.75">
      <c r="B14" s="2"/>
      <c r="C14" s="87" t="s">
        <v>6</v>
      </c>
      <c r="D14" s="87"/>
      <c r="E14" s="87"/>
      <c r="F14" s="8" t="s">
        <v>7</v>
      </c>
      <c r="G14" s="8" t="s">
        <v>8</v>
      </c>
      <c r="H14" s="3"/>
    </row>
    <row r="15" spans="2:8" ht="15.75">
      <c r="B15" s="2"/>
      <c r="C15" s="88" t="s">
        <v>9</v>
      </c>
      <c r="D15" s="88"/>
      <c r="E15" s="88"/>
      <c r="F15" s="27">
        <f>1015959.7-212741.68+259590.93</f>
        <v>1062808.95</v>
      </c>
      <c r="G15" s="27">
        <f>958775.35-200767.29+282164.35</f>
        <v>1040172.4099999999</v>
      </c>
      <c r="H15" s="3"/>
    </row>
    <row r="16" spans="2:8" ht="15.75">
      <c r="B16" s="2"/>
      <c r="C16" s="88" t="s">
        <v>10</v>
      </c>
      <c r="D16" s="88"/>
      <c r="E16" s="88"/>
      <c r="F16" s="27">
        <f>212741.68+71570.46</f>
        <v>284312.14</v>
      </c>
      <c r="G16" s="27">
        <f>200767.29+75788.81</f>
        <v>276556.09999999998</v>
      </c>
      <c r="H16" s="3"/>
    </row>
    <row r="17" spans="2:11" ht="30.75" customHeight="1">
      <c r="B17" s="2"/>
      <c r="C17" s="88" t="s">
        <v>45</v>
      </c>
      <c r="D17" s="88"/>
      <c r="E17" s="88"/>
      <c r="F17" s="27">
        <f>24106.29+7986.33</f>
        <v>32092.620000000003</v>
      </c>
      <c r="G17" s="27">
        <f>25495.18+11058.2</f>
        <v>36553.380000000005</v>
      </c>
      <c r="H17" s="3"/>
    </row>
    <row r="18" spans="2:11" ht="18.75">
      <c r="B18" s="2"/>
      <c r="C18" s="44" t="s">
        <v>11</v>
      </c>
      <c r="D18" s="44"/>
      <c r="E18" s="44"/>
      <c r="F18" s="23">
        <f>SUM(F15:F17)</f>
        <v>1379213.71</v>
      </c>
      <c r="G18" s="23">
        <f>SUM(G15:G17)</f>
        <v>1353281.8899999997</v>
      </c>
      <c r="H18" s="3"/>
      <c r="J18" s="7">
        <f>F18-G18</f>
        <v>25931.820000000298</v>
      </c>
    </row>
    <row r="19" spans="2:11" ht="18.75">
      <c r="B19" s="2"/>
      <c r="C19" s="75" t="s">
        <v>12</v>
      </c>
      <c r="D19" s="75"/>
      <c r="E19" s="75"/>
      <c r="F19" s="75"/>
      <c r="G19" s="75"/>
      <c r="H19" s="3"/>
    </row>
    <row r="20" spans="2:11" ht="15.75">
      <c r="B20" s="2"/>
      <c r="C20" s="59" t="s">
        <v>42</v>
      </c>
      <c r="D20" s="59"/>
      <c r="E20" s="59"/>
      <c r="F20" s="9">
        <f>F17</f>
        <v>32092.620000000003</v>
      </c>
      <c r="G20" s="11"/>
      <c r="H20" s="3"/>
    </row>
    <row r="21" spans="2:11" ht="15.75">
      <c r="B21" s="2"/>
      <c r="C21" s="43" t="s">
        <v>13</v>
      </c>
      <c r="D21" s="57"/>
      <c r="E21" s="58"/>
      <c r="F21" s="9">
        <f>SUM(F22:F27)</f>
        <v>1062808.9099999999</v>
      </c>
      <c r="G21" s="11"/>
      <c r="H21" s="3"/>
    </row>
    <row r="22" spans="2:11" ht="15.75">
      <c r="B22" s="2"/>
      <c r="C22" s="43" t="s">
        <v>14</v>
      </c>
      <c r="D22" s="57"/>
      <c r="E22" s="58"/>
      <c r="F22" s="12">
        <f>10400.7+34343</f>
        <v>44743.7</v>
      </c>
      <c r="G22" s="11"/>
      <c r="H22" s="3"/>
    </row>
    <row r="23" spans="2:11" ht="15.75">
      <c r="B23" s="2"/>
      <c r="C23" s="59" t="s">
        <v>16</v>
      </c>
      <c r="D23" s="59"/>
      <c r="E23" s="59"/>
      <c r="F23" s="12">
        <f>134736.4+44829.37</f>
        <v>179565.77</v>
      </c>
      <c r="G23" s="11"/>
      <c r="H23" s="3"/>
    </row>
    <row r="24" spans="2:11" ht="15.75">
      <c r="B24" s="2"/>
      <c r="C24" s="59" t="s">
        <v>17</v>
      </c>
      <c r="D24" s="59"/>
      <c r="E24" s="59"/>
      <c r="F24" s="12">
        <f>127172.25+24110.72+50334.72</f>
        <v>201617.69</v>
      </c>
      <c r="G24" s="11"/>
      <c r="H24" s="3"/>
    </row>
    <row r="25" spans="2:11" ht="15.75">
      <c r="B25" s="2"/>
      <c r="C25" s="59" t="s">
        <v>18</v>
      </c>
      <c r="D25" s="59"/>
      <c r="E25" s="59"/>
      <c r="F25" s="12">
        <f>82732.87+27526.8</f>
        <v>110259.67</v>
      </c>
      <c r="G25" s="11"/>
      <c r="H25" s="3"/>
    </row>
    <row r="26" spans="2:11" ht="15.75">
      <c r="B26" s="2"/>
      <c r="C26" s="59" t="s">
        <v>19</v>
      </c>
      <c r="D26" s="59"/>
      <c r="E26" s="59"/>
      <c r="F26" s="12">
        <f>162629.19+54109.83</f>
        <v>216739.02000000002</v>
      </c>
      <c r="G26" s="11"/>
      <c r="H26" s="3"/>
    </row>
    <row r="27" spans="2:11" ht="37.5" customHeight="1">
      <c r="B27" s="2"/>
      <c r="C27" s="43" t="s">
        <v>29</v>
      </c>
      <c r="D27" s="43"/>
      <c r="E27" s="43"/>
      <c r="F27" s="12">
        <f>135209.16+123862.93+2363.8+48447.17</f>
        <v>309883.06</v>
      </c>
      <c r="G27" s="11"/>
      <c r="H27" s="3"/>
      <c r="J27" t="s">
        <v>66</v>
      </c>
      <c r="K27" t="s">
        <v>61</v>
      </c>
    </row>
    <row r="28" spans="2:11" ht="15.75">
      <c r="B28" s="2"/>
      <c r="C28" s="43" t="s">
        <v>10</v>
      </c>
      <c r="D28" s="43"/>
      <c r="E28" s="43"/>
      <c r="F28" s="12">
        <f>116707+74775</f>
        <v>191482</v>
      </c>
      <c r="G28" s="11"/>
      <c r="H28" s="3"/>
      <c r="J28">
        <f>1991+11941+14055+1759+38677+1609+3624+192+8238+10578+6703+10898+4939+371+1132</f>
        <v>116707</v>
      </c>
      <c r="K28">
        <v>74775</v>
      </c>
    </row>
    <row r="29" spans="2:11" ht="18.75">
      <c r="B29" s="2"/>
      <c r="C29" s="44" t="s">
        <v>20</v>
      </c>
      <c r="D29" s="44"/>
      <c r="E29" s="44"/>
      <c r="F29" s="10">
        <f>F20+F21+F28</f>
        <v>1286383.53</v>
      </c>
      <c r="G29" s="24"/>
      <c r="H29" s="3"/>
    </row>
    <row r="30" spans="2:11" ht="18.75">
      <c r="B30" s="2"/>
      <c r="C30" s="45"/>
      <c r="D30" s="45"/>
      <c r="E30" s="45"/>
      <c r="F30" s="45"/>
      <c r="G30" s="13"/>
      <c r="H30" s="3"/>
    </row>
    <row r="31" spans="2:11" ht="15.75">
      <c r="B31" s="2"/>
      <c r="C31" s="46" t="s">
        <v>43</v>
      </c>
      <c r="D31" s="46"/>
      <c r="E31" s="46"/>
      <c r="F31" s="10">
        <f>1811.08+602.58</f>
        <v>2413.66</v>
      </c>
      <c r="G31" s="10">
        <f>1709.13+638.19</f>
        <v>2347.3200000000002</v>
      </c>
      <c r="H31" s="3"/>
      <c r="K31" s="7">
        <f>F31-G31</f>
        <v>66.339999999999691</v>
      </c>
    </row>
    <row r="32" spans="2:11" ht="15.75">
      <c r="B32" s="2"/>
      <c r="C32" s="46" t="s">
        <v>44</v>
      </c>
      <c r="D32" s="46"/>
      <c r="E32" s="46"/>
      <c r="F32" s="10"/>
      <c r="G32" s="10"/>
      <c r="H32" s="3"/>
    </row>
    <row r="33" spans="2:8" ht="18.75">
      <c r="B33" s="2"/>
      <c r="C33" s="49"/>
      <c r="D33" s="49"/>
      <c r="E33" s="49"/>
      <c r="F33" s="49"/>
      <c r="G33" s="50"/>
      <c r="H33" s="3"/>
    </row>
    <row r="34" spans="2:8" ht="29.25" customHeight="1">
      <c r="B34" s="2"/>
      <c r="C34" s="54" t="s">
        <v>56</v>
      </c>
      <c r="D34" s="54"/>
      <c r="E34" s="54"/>
      <c r="F34" s="54"/>
      <c r="G34" s="26">
        <f>F28-G16+F12</f>
        <v>-273980.11</v>
      </c>
      <c r="H34" s="3"/>
    </row>
    <row r="35" spans="2:8" ht="15.75">
      <c r="B35" s="2"/>
      <c r="C35" s="15"/>
      <c r="D35" s="15"/>
      <c r="E35" s="15"/>
      <c r="F35" s="15"/>
      <c r="G35" s="16"/>
      <c r="H35" s="3"/>
    </row>
    <row r="36" spans="2:8" ht="29.25" customHeight="1">
      <c r="B36" s="2"/>
      <c r="C36" s="48" t="s">
        <v>57</v>
      </c>
      <c r="D36" s="48"/>
      <c r="E36" s="48"/>
      <c r="F36" s="48"/>
      <c r="G36" s="23">
        <f>(F15-G15)+(F17-G17)+F10</f>
        <v>355051.61000000004</v>
      </c>
      <c r="H36" s="3"/>
    </row>
    <row r="37" spans="2:8" ht="15.75">
      <c r="B37" s="2"/>
      <c r="C37" s="30"/>
      <c r="D37" s="30"/>
      <c r="E37" s="30"/>
      <c r="F37" s="30"/>
      <c r="G37" s="17"/>
      <c r="H37" s="3"/>
    </row>
    <row r="38" spans="2:8" ht="35.25" customHeight="1">
      <c r="B38" s="2"/>
      <c r="C38" s="48" t="s">
        <v>58</v>
      </c>
      <c r="D38" s="48"/>
      <c r="E38" s="48"/>
      <c r="F38" s="48"/>
      <c r="G38" s="14">
        <f>G34+G36</f>
        <v>81071.500000000058</v>
      </c>
      <c r="H38" s="3"/>
    </row>
    <row r="39" spans="2:8">
      <c r="B39" s="18" t="s">
        <v>21</v>
      </c>
      <c r="C39" s="19"/>
      <c r="D39" s="19"/>
      <c r="E39" s="19"/>
      <c r="F39" s="19"/>
      <c r="G39" s="19"/>
      <c r="H39" s="20"/>
    </row>
    <row r="40" spans="2:8">
      <c r="B40" s="18" t="s">
        <v>22</v>
      </c>
      <c r="C40" s="19"/>
      <c r="D40" s="19"/>
      <c r="E40" s="19"/>
      <c r="F40" s="19"/>
      <c r="G40" s="19"/>
      <c r="H40" s="20"/>
    </row>
    <row r="41" spans="2:8">
      <c r="B41" s="18" t="s">
        <v>23</v>
      </c>
      <c r="C41" s="19"/>
      <c r="D41" s="19"/>
      <c r="E41" s="19"/>
      <c r="F41" s="19"/>
      <c r="G41" s="19"/>
      <c r="H41" s="20"/>
    </row>
    <row r="42" spans="2:8" ht="15.75" thickBot="1">
      <c r="B42" s="21"/>
      <c r="C42" s="47" t="s">
        <v>52</v>
      </c>
      <c r="D42" s="47"/>
      <c r="E42" s="47"/>
      <c r="F42" s="47"/>
      <c r="G42" s="47"/>
      <c r="H42" s="22"/>
    </row>
  </sheetData>
  <mergeCells count="36">
    <mergeCell ref="B3:H3"/>
    <mergeCell ref="C4:G4"/>
    <mergeCell ref="C5:G5"/>
    <mergeCell ref="C6:G6"/>
    <mergeCell ref="C7:F7"/>
    <mergeCell ref="C8:F8"/>
    <mergeCell ref="C10:E10"/>
    <mergeCell ref="F10:G10"/>
    <mergeCell ref="C11:G11"/>
    <mergeCell ref="C12:E12"/>
    <mergeCell ref="F12:G12"/>
    <mergeCell ref="C13:G13"/>
    <mergeCell ref="C14:E14"/>
    <mergeCell ref="C15:E15"/>
    <mergeCell ref="C16:E16"/>
    <mergeCell ref="C17:E17"/>
    <mergeCell ref="C18:E18"/>
    <mergeCell ref="C19:G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F30"/>
    <mergeCell ref="C31:E31"/>
    <mergeCell ref="C32:E32"/>
    <mergeCell ref="C33:G33"/>
    <mergeCell ref="C34:F34"/>
    <mergeCell ref="C36:F36"/>
    <mergeCell ref="C38:F38"/>
    <mergeCell ref="C42:G42"/>
  </mergeCells>
  <pageMargins left="0.70833333333333304" right="0.70833333333333304" top="0.15763888888888899" bottom="0.15763888888888899" header="0.51180555555555496" footer="0.51180555555555496"/>
  <pageSetup paperSize="9" firstPageNumber="0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5"/>
  <sheetViews>
    <sheetView topLeftCell="A4" workbookViewId="0">
      <selection activeCell="L32" sqref="L32"/>
    </sheetView>
  </sheetViews>
  <sheetFormatPr defaultRowHeight="15"/>
  <cols>
    <col min="2" max="2" width="12.6640625" customWidth="1"/>
    <col min="3" max="3" width="4.77734375" customWidth="1"/>
    <col min="4" max="4" width="4.44140625" customWidth="1"/>
    <col min="5" max="5" width="10" bestFit="1" customWidth="1"/>
    <col min="7" max="7" width="12.88671875" customWidth="1"/>
    <col min="10" max="10" width="10.21875" customWidth="1"/>
    <col min="11" max="11" width="11.6640625" customWidth="1"/>
  </cols>
  <sheetData>
    <row r="2" spans="2:12">
      <c r="E2" t="s">
        <v>74</v>
      </c>
      <c r="F2">
        <v>2015</v>
      </c>
    </row>
    <row r="3" spans="2:12">
      <c r="B3" s="39" t="s">
        <v>73</v>
      </c>
      <c r="C3" s="39" t="s">
        <v>71</v>
      </c>
      <c r="D3" s="39" t="s">
        <v>72</v>
      </c>
      <c r="E3" s="39" t="s">
        <v>70</v>
      </c>
      <c r="F3" s="39" t="s">
        <v>69</v>
      </c>
    </row>
    <row r="4" spans="2:12">
      <c r="B4" s="37" t="s">
        <v>67</v>
      </c>
      <c r="C4" s="37">
        <v>81</v>
      </c>
      <c r="D4" s="37"/>
      <c r="E4" s="38">
        <v>579608.22</v>
      </c>
      <c r="F4" s="38">
        <v>344.55</v>
      </c>
      <c r="G4" s="7"/>
      <c r="H4">
        <v>30.2</v>
      </c>
      <c r="I4" s="7">
        <v>4519.2</v>
      </c>
      <c r="J4" s="7">
        <f>I4*H4</f>
        <v>136479.84</v>
      </c>
      <c r="K4" s="7">
        <f>J4*12</f>
        <v>1637758.08</v>
      </c>
      <c r="L4" s="7"/>
    </row>
    <row r="5" spans="2:12">
      <c r="B5" s="37" t="s">
        <v>67</v>
      </c>
      <c r="C5" s="37">
        <v>83</v>
      </c>
      <c r="D5" s="37"/>
      <c r="E5" s="38">
        <v>142037.74</v>
      </c>
      <c r="F5" s="38">
        <v>187.19</v>
      </c>
      <c r="G5" s="7"/>
      <c r="H5">
        <v>21.49</v>
      </c>
      <c r="I5" s="7">
        <v>5280.2</v>
      </c>
      <c r="J5" s="7">
        <f t="shared" ref="J5:J15" si="0">I5*H5</f>
        <v>113471.49799999999</v>
      </c>
      <c r="K5" s="7">
        <f t="shared" ref="K5:K15" si="1">J5*12</f>
        <v>1361657.9759999998</v>
      </c>
      <c r="L5" s="7"/>
    </row>
    <row r="6" spans="2:12">
      <c r="B6" s="37" t="s">
        <v>67</v>
      </c>
      <c r="C6" s="37">
        <v>85</v>
      </c>
      <c r="D6" s="37"/>
      <c r="E6" s="38">
        <v>1280704.29</v>
      </c>
      <c r="F6" s="38">
        <v>329.66</v>
      </c>
      <c r="G6" s="7"/>
      <c r="H6">
        <v>30.2</v>
      </c>
      <c r="I6" s="7">
        <v>4718</v>
      </c>
      <c r="J6" s="7">
        <f t="shared" si="0"/>
        <v>142483.6</v>
      </c>
      <c r="K6" s="7">
        <f t="shared" si="1"/>
        <v>1709803.2000000002</v>
      </c>
      <c r="L6" s="7"/>
    </row>
    <row r="7" spans="2:12">
      <c r="B7" s="37" t="s">
        <v>67</v>
      </c>
      <c r="C7" s="37">
        <v>87</v>
      </c>
      <c r="D7" s="37"/>
      <c r="E7" s="38">
        <v>792063.12</v>
      </c>
      <c r="F7" s="38">
        <v>111.77</v>
      </c>
      <c r="G7" s="7"/>
      <c r="H7">
        <v>21.49</v>
      </c>
      <c r="I7" s="7">
        <v>7513.8</v>
      </c>
      <c r="J7" s="7">
        <f t="shared" si="0"/>
        <v>161471.56200000001</v>
      </c>
      <c r="K7" s="7">
        <f t="shared" si="1"/>
        <v>1937658.7439999999</v>
      </c>
      <c r="L7" s="7"/>
    </row>
    <row r="8" spans="2:12">
      <c r="B8" s="37"/>
      <c r="C8" s="37"/>
      <c r="D8" s="37"/>
      <c r="E8" s="38"/>
      <c r="F8" s="38"/>
      <c r="G8" s="7"/>
      <c r="I8" s="7"/>
      <c r="J8" s="7">
        <f t="shared" si="0"/>
        <v>0</v>
      </c>
      <c r="K8" s="7">
        <f t="shared" si="1"/>
        <v>0</v>
      </c>
      <c r="L8" s="7"/>
    </row>
    <row r="9" spans="2:12">
      <c r="B9" s="37" t="s">
        <v>68</v>
      </c>
      <c r="C9" s="37">
        <v>71</v>
      </c>
      <c r="D9" s="37">
        <v>1</v>
      </c>
      <c r="E9" s="38">
        <v>161362.98000000001</v>
      </c>
      <c r="F9" s="38">
        <v>84.96</v>
      </c>
      <c r="G9" s="7"/>
      <c r="H9">
        <v>21.49</v>
      </c>
      <c r="I9" s="7">
        <v>8191.1</v>
      </c>
      <c r="J9" s="7">
        <f t="shared" si="0"/>
        <v>176026.739</v>
      </c>
      <c r="K9" s="7">
        <f t="shared" si="1"/>
        <v>2112320.8679999998</v>
      </c>
      <c r="L9" s="7"/>
    </row>
    <row r="10" spans="2:12">
      <c r="B10" s="37" t="s">
        <v>68</v>
      </c>
      <c r="C10" s="37">
        <v>71</v>
      </c>
      <c r="D10" s="37">
        <v>2</v>
      </c>
      <c r="E10" s="38">
        <v>677144.34</v>
      </c>
      <c r="F10" s="38">
        <v>503.78</v>
      </c>
      <c r="G10" s="7"/>
      <c r="H10">
        <v>21.49</v>
      </c>
      <c r="I10" s="7">
        <v>6967.7</v>
      </c>
      <c r="J10" s="7">
        <f t="shared" si="0"/>
        <v>149735.87299999999</v>
      </c>
      <c r="K10" s="7">
        <f t="shared" si="1"/>
        <v>1796830.4759999998</v>
      </c>
      <c r="L10" s="7"/>
    </row>
    <row r="11" spans="2:12">
      <c r="B11" s="37" t="s">
        <v>68</v>
      </c>
      <c r="C11" s="37">
        <v>79</v>
      </c>
      <c r="D11" s="37"/>
      <c r="E11" s="38">
        <v>460735.74</v>
      </c>
      <c r="F11" s="38">
        <v>338.85</v>
      </c>
      <c r="G11" s="7"/>
      <c r="H11">
        <v>21.49</v>
      </c>
      <c r="I11" s="7">
        <v>6732.2</v>
      </c>
      <c r="J11" s="7">
        <f t="shared" si="0"/>
        <v>144674.97799999997</v>
      </c>
      <c r="K11" s="7">
        <f t="shared" si="1"/>
        <v>1736099.7359999996</v>
      </c>
      <c r="L11" s="7"/>
    </row>
    <row r="12" spans="2:12">
      <c r="B12" s="37" t="s">
        <v>68</v>
      </c>
      <c r="C12" s="37">
        <v>79</v>
      </c>
      <c r="D12" s="37">
        <v>2</v>
      </c>
      <c r="E12" s="38">
        <v>191383.97</v>
      </c>
      <c r="F12" s="38">
        <v>27.04</v>
      </c>
      <c r="G12" s="7"/>
      <c r="H12">
        <v>21.49</v>
      </c>
      <c r="I12" s="7">
        <v>4554.3999999999996</v>
      </c>
      <c r="J12" s="7">
        <f t="shared" si="0"/>
        <v>97874.055999999982</v>
      </c>
      <c r="K12" s="7">
        <f t="shared" si="1"/>
        <v>1174488.6719999998</v>
      </c>
      <c r="L12" s="7"/>
    </row>
    <row r="13" spans="2:12">
      <c r="B13" s="41" t="s">
        <v>68</v>
      </c>
      <c r="C13" s="41">
        <v>81</v>
      </c>
      <c r="D13" s="41"/>
      <c r="E13" s="42">
        <v>-77510.210000000006</v>
      </c>
      <c r="F13" s="38">
        <v>307.08999999999997</v>
      </c>
      <c r="G13" s="7"/>
      <c r="H13">
        <v>21.49</v>
      </c>
      <c r="I13" s="7">
        <v>5146</v>
      </c>
      <c r="J13" s="7">
        <f t="shared" si="0"/>
        <v>110587.54</v>
      </c>
      <c r="K13" s="7">
        <f t="shared" si="1"/>
        <v>1327050.48</v>
      </c>
      <c r="L13" s="7"/>
    </row>
    <row r="14" spans="2:12">
      <c r="B14" s="37" t="s">
        <v>68</v>
      </c>
      <c r="C14" s="37">
        <v>81</v>
      </c>
      <c r="D14" s="37">
        <v>1</v>
      </c>
      <c r="E14" s="38">
        <v>390386.54</v>
      </c>
      <c r="F14" s="38">
        <v>192</v>
      </c>
      <c r="G14" s="7"/>
      <c r="H14">
        <v>21.49</v>
      </c>
      <c r="I14" s="7">
        <v>4553.8</v>
      </c>
      <c r="J14" s="7">
        <f t="shared" si="0"/>
        <v>97861.161999999997</v>
      </c>
      <c r="K14" s="7">
        <f t="shared" si="1"/>
        <v>1174333.9439999999</v>
      </c>
      <c r="L14" s="7"/>
    </row>
    <row r="15" spans="2:12">
      <c r="B15" s="37" t="s">
        <v>68</v>
      </c>
      <c r="C15" s="37">
        <v>81</v>
      </c>
      <c r="D15" s="37">
        <v>2</v>
      </c>
      <c r="E15" s="38">
        <v>81071.5</v>
      </c>
      <c r="F15" s="38">
        <v>66.34</v>
      </c>
      <c r="G15" s="7"/>
      <c r="H15">
        <v>21.49</v>
      </c>
      <c r="I15" s="7">
        <v>5276.5</v>
      </c>
      <c r="J15" s="7">
        <f t="shared" si="0"/>
        <v>113391.98499999999</v>
      </c>
      <c r="K15" s="7">
        <f t="shared" si="1"/>
        <v>1360703.8199999998</v>
      </c>
      <c r="L15" s="7"/>
    </row>
    <row r="16" spans="2:12">
      <c r="B16" s="37"/>
      <c r="C16" s="37"/>
      <c r="D16" s="37"/>
      <c r="E16" s="40">
        <f>SUM(E4:E15)</f>
        <v>4678988.2299999995</v>
      </c>
      <c r="F16" s="40">
        <f>SUM(F4:F15)</f>
        <v>2493.2300000000005</v>
      </c>
      <c r="G16" s="40">
        <f>E16+F16</f>
        <v>4681481.46</v>
      </c>
      <c r="I16" s="7">
        <f>SUM(I4:I15)</f>
        <v>63452.9</v>
      </c>
      <c r="J16" s="7">
        <f t="shared" ref="J16:K16" si="2">SUM(J4:J15)</f>
        <v>1444058.8330000001</v>
      </c>
      <c r="K16" s="7">
        <f t="shared" si="2"/>
        <v>17328705.995999999</v>
      </c>
      <c r="L16" s="7">
        <f>G16*100/K16</f>
        <v>27.01575905945101</v>
      </c>
    </row>
    <row r="19" spans="2:7">
      <c r="C19" s="35"/>
    </row>
    <row r="21" spans="2:7">
      <c r="E21">
        <v>2015</v>
      </c>
    </row>
    <row r="22" spans="2:7">
      <c r="B22" s="39" t="s">
        <v>73</v>
      </c>
      <c r="C22" s="39" t="s">
        <v>71</v>
      </c>
      <c r="D22" s="39" t="s">
        <v>72</v>
      </c>
      <c r="E22" s="39" t="s">
        <v>70</v>
      </c>
      <c r="F22" s="39" t="s">
        <v>69</v>
      </c>
    </row>
    <row r="23" spans="2:7">
      <c r="B23" s="37" t="s">
        <v>67</v>
      </c>
      <c r="C23" s="37">
        <v>81</v>
      </c>
      <c r="D23" s="37"/>
      <c r="E23" s="38">
        <v>81197.91</v>
      </c>
      <c r="F23" s="38">
        <v>344.55</v>
      </c>
      <c r="G23" s="7"/>
    </row>
    <row r="24" spans="2:7">
      <c r="B24" s="37" t="s">
        <v>67</v>
      </c>
      <c r="C24" s="37">
        <v>83</v>
      </c>
      <c r="D24" s="37"/>
      <c r="E24" s="38">
        <v>33263.83</v>
      </c>
      <c r="F24" s="38">
        <v>187.19</v>
      </c>
      <c r="G24" s="7"/>
    </row>
    <row r="25" spans="2:7">
      <c r="B25" s="37" t="s">
        <v>67</v>
      </c>
      <c r="C25" s="37">
        <v>85</v>
      </c>
      <c r="D25" s="37"/>
      <c r="E25" s="38">
        <v>242524.41</v>
      </c>
      <c r="F25" s="38">
        <v>329.66</v>
      </c>
      <c r="G25" s="7"/>
    </row>
    <row r="26" spans="2:7">
      <c r="B26" s="37" t="s">
        <v>67</v>
      </c>
      <c r="C26" s="37">
        <v>87</v>
      </c>
      <c r="D26" s="37"/>
      <c r="E26" s="38">
        <v>48088.76</v>
      </c>
      <c r="F26" s="38">
        <v>111.77</v>
      </c>
      <c r="G26" s="7"/>
    </row>
    <row r="27" spans="2:7">
      <c r="B27" s="37"/>
      <c r="C27" s="37"/>
      <c r="D27" s="37"/>
      <c r="E27" s="38"/>
      <c r="F27" s="38"/>
      <c r="G27" s="7"/>
    </row>
    <row r="28" spans="2:7">
      <c r="B28" s="37" t="s">
        <v>68</v>
      </c>
      <c r="C28" s="37">
        <v>71</v>
      </c>
      <c r="D28" s="37">
        <v>1</v>
      </c>
      <c r="E28" s="38">
        <v>79116.52</v>
      </c>
      <c r="F28" s="38">
        <v>84.96</v>
      </c>
      <c r="G28" s="7"/>
    </row>
    <row r="29" spans="2:7">
      <c r="B29" s="37" t="s">
        <v>68</v>
      </c>
      <c r="C29" s="37">
        <v>71</v>
      </c>
      <c r="D29" s="37">
        <v>2</v>
      </c>
      <c r="E29" s="38">
        <v>171345.41</v>
      </c>
      <c r="F29" s="38">
        <v>503.78</v>
      </c>
      <c r="G29" s="7"/>
    </row>
    <row r="30" spans="2:7">
      <c r="B30" s="37" t="s">
        <v>68</v>
      </c>
      <c r="C30" s="37">
        <v>79</v>
      </c>
      <c r="D30" s="37"/>
      <c r="E30" s="38">
        <v>243188.59</v>
      </c>
      <c r="F30" s="38">
        <v>338.85</v>
      </c>
      <c r="G30" s="7"/>
    </row>
    <row r="31" spans="2:7">
      <c r="B31" s="37" t="s">
        <v>68</v>
      </c>
      <c r="C31" s="37">
        <v>79</v>
      </c>
      <c r="D31" s="37">
        <v>2</v>
      </c>
      <c r="E31" s="38">
        <v>10400.469999999999</v>
      </c>
      <c r="F31" s="38">
        <v>27.04</v>
      </c>
      <c r="G31" s="7"/>
    </row>
    <row r="32" spans="2:7">
      <c r="B32" s="41" t="s">
        <v>68</v>
      </c>
      <c r="C32" s="41">
        <v>81</v>
      </c>
      <c r="D32" s="41"/>
      <c r="E32" s="42">
        <v>135666.9</v>
      </c>
      <c r="F32" s="38">
        <v>307.08999999999997</v>
      </c>
      <c r="G32" s="7"/>
    </row>
    <row r="33" spans="2:11">
      <c r="B33" s="37" t="s">
        <v>68</v>
      </c>
      <c r="C33" s="37">
        <v>81</v>
      </c>
      <c r="D33" s="37">
        <v>1</v>
      </c>
      <c r="E33" s="38">
        <v>161355.64000000001</v>
      </c>
      <c r="F33" s="38">
        <v>192</v>
      </c>
      <c r="G33" s="7"/>
    </row>
    <row r="34" spans="2:11">
      <c r="B34" s="37" t="s">
        <v>68</v>
      </c>
      <c r="C34" s="37">
        <v>81</v>
      </c>
      <c r="D34" s="37">
        <v>2</v>
      </c>
      <c r="E34" s="38">
        <v>25931.82</v>
      </c>
      <c r="F34" s="38">
        <v>66.34</v>
      </c>
      <c r="G34" s="7"/>
    </row>
    <row r="35" spans="2:11">
      <c r="B35" s="37"/>
      <c r="C35" s="37"/>
      <c r="D35" s="37"/>
      <c r="E35" s="40">
        <f>SUM(E23:E34)</f>
        <v>1232080.26</v>
      </c>
      <c r="F35" s="40">
        <f>SUM(F23:F34)</f>
        <v>2493.2300000000005</v>
      </c>
      <c r="G35" s="40">
        <f>E35+F35</f>
        <v>1234573.49</v>
      </c>
      <c r="K35">
        <f>G35*100/K16</f>
        <v>7.1244413188438749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M41"/>
  <sheetViews>
    <sheetView topLeftCell="A13" zoomScalePageLayoutView="60" workbookViewId="0">
      <selection activeCell="J19" sqref="J19"/>
    </sheetView>
  </sheetViews>
  <sheetFormatPr defaultRowHeight="15"/>
  <cols>
    <col min="1" max="1" width="5.21875"/>
    <col min="2" max="2" width="7" customWidth="1"/>
    <col min="3" max="4" width="7.44140625"/>
    <col min="5" max="5" width="11.33203125"/>
    <col min="6" max="6" width="14" customWidth="1"/>
    <col min="7" max="7" width="14.21875"/>
    <col min="8" max="8" width="7.44140625" customWidth="1"/>
    <col min="9" max="9" width="4.33203125" customWidth="1"/>
    <col min="10" max="12" width="10" bestFit="1" customWidth="1"/>
    <col min="13" max="13" width="8.77734375" bestFit="1" customWidth="1"/>
    <col min="14" max="1025" width="7.44140625"/>
  </cols>
  <sheetData>
    <row r="1" spans="2:13" ht="15.75" customHeight="1">
      <c r="B1" s="19"/>
      <c r="C1" s="25"/>
      <c r="D1" s="25"/>
      <c r="E1" s="25"/>
      <c r="F1" s="25"/>
      <c r="G1" s="25"/>
      <c r="H1" s="19"/>
    </row>
    <row r="2" spans="2:13" ht="15.75" thickBot="1"/>
    <row r="3" spans="2:13" ht="22.5">
      <c r="B3" s="70" t="s">
        <v>25</v>
      </c>
      <c r="C3" s="71"/>
      <c r="D3" s="71"/>
      <c r="E3" s="71"/>
      <c r="F3" s="71"/>
      <c r="G3" s="71"/>
      <c r="H3" s="72"/>
    </row>
    <row r="4" spans="2:13">
      <c r="B4" s="2"/>
      <c r="C4" s="73" t="s">
        <v>1</v>
      </c>
      <c r="D4" s="73"/>
      <c r="E4" s="73"/>
      <c r="F4" s="73"/>
      <c r="G4" s="73"/>
      <c r="H4" s="3"/>
    </row>
    <row r="5" spans="2:13" ht="18.75">
      <c r="B5" s="2"/>
      <c r="C5" s="74" t="s">
        <v>59</v>
      </c>
      <c r="D5" s="74"/>
      <c r="E5" s="74"/>
      <c r="F5" s="74"/>
      <c r="G5" s="74"/>
      <c r="H5" s="3"/>
    </row>
    <row r="6" spans="2:13" ht="18.75">
      <c r="B6" s="2"/>
      <c r="C6" s="75" t="s">
        <v>48</v>
      </c>
      <c r="D6" s="75"/>
      <c r="E6" s="75"/>
      <c r="F6" s="75"/>
      <c r="G6" s="75"/>
      <c r="H6" s="3"/>
    </row>
    <row r="7" spans="2:13" ht="15.75">
      <c r="B7" s="2"/>
      <c r="C7" s="76" t="s">
        <v>3</v>
      </c>
      <c r="D7" s="76"/>
      <c r="E7" s="76"/>
      <c r="F7" s="76"/>
      <c r="G7" s="4">
        <v>213</v>
      </c>
      <c r="H7" s="3"/>
      <c r="M7" s="35"/>
    </row>
    <row r="8" spans="2:13" ht="15.75">
      <c r="B8" s="2"/>
      <c r="C8" s="57" t="s">
        <v>4</v>
      </c>
      <c r="D8" s="57"/>
      <c r="E8" s="57"/>
      <c r="F8" s="57"/>
      <c r="G8" s="33">
        <v>5280.5</v>
      </c>
      <c r="H8" s="3"/>
      <c r="K8" s="7"/>
      <c r="L8" s="7"/>
      <c r="M8" s="7"/>
    </row>
    <row r="9" spans="2:13" ht="19.5" thickBot="1">
      <c r="B9" s="2"/>
      <c r="C9" s="5"/>
      <c r="D9" s="5"/>
      <c r="E9" s="5"/>
      <c r="F9" s="5"/>
      <c r="G9" s="6"/>
      <c r="H9" s="3"/>
      <c r="L9" s="7"/>
    </row>
    <row r="10" spans="2:13" ht="33" customHeight="1" thickBot="1">
      <c r="B10" s="2"/>
      <c r="C10" s="77" t="s">
        <v>53</v>
      </c>
      <c r="D10" s="78"/>
      <c r="E10" s="79"/>
      <c r="F10" s="80">
        <v>234631.23</v>
      </c>
      <c r="G10" s="81"/>
      <c r="H10" s="3"/>
    </row>
    <row r="11" spans="2:13" ht="15.75" thickBot="1">
      <c r="B11" s="2"/>
      <c r="C11" s="82"/>
      <c r="D11" s="82"/>
      <c r="E11" s="82"/>
      <c r="F11" s="82"/>
      <c r="G11" s="82"/>
      <c r="H11" s="3"/>
    </row>
    <row r="12" spans="2:13" ht="32.25" customHeight="1" thickBot="1">
      <c r="B12" s="2"/>
      <c r="C12" s="77" t="s">
        <v>54</v>
      </c>
      <c r="D12" s="78"/>
      <c r="E12" s="79"/>
      <c r="F12" s="80">
        <v>-13095.4</v>
      </c>
      <c r="G12" s="81"/>
      <c r="H12" s="3"/>
    </row>
    <row r="13" spans="2:13" ht="18.75">
      <c r="B13" s="2"/>
      <c r="C13" s="83" t="s">
        <v>5</v>
      </c>
      <c r="D13" s="83"/>
      <c r="E13" s="83"/>
      <c r="F13" s="83"/>
      <c r="G13" s="83"/>
      <c r="H13" s="3"/>
    </row>
    <row r="14" spans="2:13" ht="15.75">
      <c r="B14" s="2"/>
      <c r="C14" s="61" t="s">
        <v>6</v>
      </c>
      <c r="D14" s="62"/>
      <c r="E14" s="63"/>
      <c r="F14" s="8" t="s">
        <v>7</v>
      </c>
      <c r="G14" s="8" t="s">
        <v>8</v>
      </c>
      <c r="H14" s="3"/>
    </row>
    <row r="15" spans="2:13" ht="15.75">
      <c r="B15" s="2"/>
      <c r="C15" s="64" t="s">
        <v>9</v>
      </c>
      <c r="D15" s="65"/>
      <c r="E15" s="66"/>
      <c r="F15" s="9">
        <f>1021254.44-213850.39+268355.07</f>
        <v>1075759.1199999999</v>
      </c>
      <c r="G15" s="9">
        <f>1021254.44-213850.39+264798.89</f>
        <v>1072202.94</v>
      </c>
      <c r="H15" s="3"/>
    </row>
    <row r="16" spans="2:13" ht="15.75">
      <c r="B16" s="2"/>
      <c r="C16" s="64" t="s">
        <v>10</v>
      </c>
      <c r="D16" s="65"/>
      <c r="E16" s="66"/>
      <c r="F16" s="9">
        <f>213850.39+72079.53</f>
        <v>285929.92000000004</v>
      </c>
      <c r="G16" s="9">
        <f>193190.86+71124.31</f>
        <v>264315.17</v>
      </c>
      <c r="H16" s="3"/>
    </row>
    <row r="17" spans="2:10" ht="15.75">
      <c r="B17" s="2"/>
      <c r="C17" s="64" t="s">
        <v>45</v>
      </c>
      <c r="D17" s="65"/>
      <c r="E17" s="66"/>
      <c r="F17" s="12">
        <f>71713.25+23958.6</f>
        <v>95671.85</v>
      </c>
      <c r="G17" s="12">
        <f>64568.81+23010.14</f>
        <v>87578.95</v>
      </c>
      <c r="H17" s="3"/>
    </row>
    <row r="18" spans="2:10" ht="18.75">
      <c r="B18" s="2"/>
      <c r="C18" s="67" t="s">
        <v>11</v>
      </c>
      <c r="D18" s="68"/>
      <c r="E18" s="69"/>
      <c r="F18" s="10">
        <f>SUM(F15:F17)</f>
        <v>1457360.8900000001</v>
      </c>
      <c r="G18" s="10">
        <f>SUM(G15:G17)</f>
        <v>1424097.0599999998</v>
      </c>
      <c r="H18" s="3"/>
      <c r="J18" s="7">
        <f>F18-G18</f>
        <v>33263.830000000307</v>
      </c>
    </row>
    <row r="19" spans="2:10" ht="18.75">
      <c r="B19" s="2"/>
      <c r="C19" s="60" t="s">
        <v>12</v>
      </c>
      <c r="D19" s="60"/>
      <c r="E19" s="60"/>
      <c r="F19" s="60"/>
      <c r="G19" s="60"/>
      <c r="H19" s="3"/>
    </row>
    <row r="20" spans="2:10" ht="15.75">
      <c r="B20" s="2"/>
      <c r="C20" s="43" t="s">
        <v>42</v>
      </c>
      <c r="D20" s="57"/>
      <c r="E20" s="58"/>
      <c r="F20" s="9">
        <f>F17</f>
        <v>95671.85</v>
      </c>
      <c r="G20" s="11"/>
      <c r="H20" s="3"/>
    </row>
    <row r="21" spans="2:10" ht="15.75">
      <c r="B21" s="2"/>
      <c r="C21" s="43" t="s">
        <v>13</v>
      </c>
      <c r="D21" s="57"/>
      <c r="E21" s="58"/>
      <c r="F21" s="9">
        <f>SUM(F22:F27)</f>
        <v>807404.04999999993</v>
      </c>
      <c r="G21" s="11"/>
      <c r="H21" s="3"/>
    </row>
    <row r="22" spans="2:10" ht="15.75">
      <c r="B22" s="2"/>
      <c r="C22" s="43" t="s">
        <v>14</v>
      </c>
      <c r="D22" s="57"/>
      <c r="E22" s="58"/>
      <c r="F22" s="12">
        <v>124508.45</v>
      </c>
      <c r="G22" s="11"/>
      <c r="H22" s="3"/>
    </row>
    <row r="23" spans="2:10" ht="15.75">
      <c r="B23" s="2"/>
      <c r="C23" s="43" t="s">
        <v>16</v>
      </c>
      <c r="D23" s="57"/>
      <c r="E23" s="58"/>
      <c r="F23" s="12">
        <v>135438.57999999999</v>
      </c>
      <c r="G23" s="11"/>
      <c r="H23" s="3"/>
    </row>
    <row r="24" spans="2:10" ht="15.75">
      <c r="B24" s="2"/>
      <c r="C24" s="59" t="s">
        <v>17</v>
      </c>
      <c r="D24" s="59"/>
      <c r="E24" s="59"/>
      <c r="F24" s="12">
        <f>127835.01+24236.38</f>
        <v>152071.38999999998</v>
      </c>
      <c r="G24" s="11"/>
      <c r="H24" s="3"/>
    </row>
    <row r="25" spans="2:10" ht="15.75">
      <c r="B25" s="2"/>
      <c r="C25" s="59" t="s">
        <v>18</v>
      </c>
      <c r="D25" s="59"/>
      <c r="E25" s="59"/>
      <c r="F25" s="12">
        <f>83164.04</f>
        <v>83164.039999999994</v>
      </c>
      <c r="G25" s="11"/>
      <c r="H25" s="3"/>
    </row>
    <row r="26" spans="2:10" ht="15.75">
      <c r="B26" s="2"/>
      <c r="C26" s="59" t="s">
        <v>19</v>
      </c>
      <c r="D26" s="59"/>
      <c r="E26" s="59"/>
      <c r="F26" s="12">
        <f>163476.75</f>
        <v>163476.75</v>
      </c>
      <c r="G26" s="11"/>
      <c r="H26" s="3"/>
    </row>
    <row r="27" spans="2:10" ht="46.5" customHeight="1">
      <c r="B27" s="2"/>
      <c r="C27" s="43" t="s">
        <v>29</v>
      </c>
      <c r="D27" s="43"/>
      <c r="E27" s="43"/>
      <c r="F27" s="12">
        <f>135913.81+10454.91+2376.12</f>
        <v>148744.84</v>
      </c>
      <c r="G27" s="11"/>
      <c r="H27" s="3"/>
    </row>
    <row r="28" spans="2:10" ht="15.75">
      <c r="B28" s="2"/>
      <c r="C28" s="43" t="s">
        <v>10</v>
      </c>
      <c r="D28" s="43"/>
      <c r="E28" s="43"/>
      <c r="F28" s="12">
        <f>185+1327+9050+2078+32849+4851+192+2922+9263+10619+4431+14176+1580+270+79375</f>
        <v>173168</v>
      </c>
      <c r="G28" s="11"/>
      <c r="H28" s="3"/>
      <c r="J28">
        <f>2000+10000+57375+10000</f>
        <v>79375</v>
      </c>
    </row>
    <row r="29" spans="2:10" ht="18.75">
      <c r="B29" s="2"/>
      <c r="C29" s="44" t="s">
        <v>20</v>
      </c>
      <c r="D29" s="44"/>
      <c r="E29" s="44"/>
      <c r="F29" s="10">
        <f>F20+F21+F28</f>
        <v>1076243.8999999999</v>
      </c>
      <c r="G29" s="24"/>
      <c r="H29" s="3"/>
    </row>
    <row r="30" spans="2:10" ht="18.75">
      <c r="B30" s="2"/>
      <c r="C30" s="45"/>
      <c r="D30" s="45"/>
      <c r="E30" s="45"/>
      <c r="F30" s="45"/>
      <c r="G30" s="13"/>
      <c r="H30" s="3"/>
    </row>
    <row r="31" spans="2:10" ht="15.75">
      <c r="B31" s="2"/>
      <c r="C31" s="46" t="s">
        <v>43</v>
      </c>
      <c r="D31" s="46"/>
      <c r="E31" s="46"/>
      <c r="F31" s="10">
        <f>1915.57</f>
        <v>1915.57</v>
      </c>
      <c r="G31" s="10">
        <f>1728.38</f>
        <v>1728.38</v>
      </c>
      <c r="H31" s="3"/>
      <c r="J31" s="7">
        <f>F31-G31</f>
        <v>187.18999999999983</v>
      </c>
    </row>
    <row r="32" spans="2:10" ht="15.75">
      <c r="B32" s="2"/>
      <c r="C32" s="46" t="s">
        <v>44</v>
      </c>
      <c r="D32" s="46"/>
      <c r="E32" s="46"/>
      <c r="F32" s="10"/>
      <c r="G32" s="10"/>
      <c r="H32" s="3"/>
    </row>
    <row r="33" spans="2:8" ht="33" customHeight="1">
      <c r="B33" s="2"/>
      <c r="C33" s="51" t="s">
        <v>56</v>
      </c>
      <c r="D33" s="52"/>
      <c r="E33" s="52"/>
      <c r="F33" s="53"/>
      <c r="G33" s="14">
        <f>F28-G16+F12</f>
        <v>-104242.56999999998</v>
      </c>
      <c r="H33" s="3"/>
    </row>
    <row r="34" spans="2:8" ht="15.75">
      <c r="B34" s="2"/>
      <c r="C34" s="15"/>
      <c r="D34" s="15"/>
      <c r="E34" s="15"/>
      <c r="F34" s="15"/>
      <c r="G34" s="16"/>
      <c r="H34" s="3"/>
    </row>
    <row r="35" spans="2:8" ht="27.75" customHeight="1">
      <c r="B35" s="2"/>
      <c r="C35" s="54" t="s">
        <v>57</v>
      </c>
      <c r="D35" s="55"/>
      <c r="E35" s="55"/>
      <c r="F35" s="56"/>
      <c r="G35" s="8">
        <f>(F15-G15)+(F17-G17)+F10</f>
        <v>246280.30999999994</v>
      </c>
      <c r="H35" s="3"/>
    </row>
    <row r="36" spans="2:8" ht="15.75">
      <c r="B36" s="2"/>
      <c r="C36" s="30"/>
      <c r="D36" s="30"/>
      <c r="E36" s="30"/>
      <c r="F36" s="30"/>
      <c r="G36" s="17"/>
      <c r="H36" s="3"/>
    </row>
    <row r="37" spans="2:8" ht="32.25" customHeight="1">
      <c r="B37" s="2"/>
      <c r="C37" s="48" t="s">
        <v>58</v>
      </c>
      <c r="D37" s="48"/>
      <c r="E37" s="48"/>
      <c r="F37" s="48"/>
      <c r="G37" s="14">
        <f>G33+G35</f>
        <v>142037.73999999996</v>
      </c>
      <c r="H37" s="3"/>
    </row>
    <row r="38" spans="2:8">
      <c r="B38" s="18" t="s">
        <v>21</v>
      </c>
      <c r="C38" s="19"/>
      <c r="D38" s="19"/>
      <c r="E38" s="19"/>
      <c r="F38" s="19"/>
      <c r="G38" s="19"/>
      <c r="H38" s="20"/>
    </row>
    <row r="39" spans="2:8">
      <c r="B39" s="18" t="s">
        <v>22</v>
      </c>
      <c r="C39" s="19"/>
      <c r="D39" s="19"/>
      <c r="E39" s="19"/>
      <c r="F39" s="19"/>
      <c r="G39" s="19"/>
      <c r="H39" s="20"/>
    </row>
    <row r="40" spans="2:8">
      <c r="B40" s="28" t="s">
        <v>23</v>
      </c>
      <c r="C40" s="29"/>
      <c r="D40" s="29"/>
      <c r="E40" s="29"/>
      <c r="F40" s="19"/>
      <c r="G40" s="19"/>
      <c r="H40" s="20"/>
    </row>
    <row r="41" spans="2:8" ht="15.75" thickBot="1">
      <c r="B41" s="21"/>
      <c r="C41" s="47" t="s">
        <v>47</v>
      </c>
      <c r="D41" s="47"/>
      <c r="E41" s="47"/>
      <c r="F41" s="47"/>
      <c r="G41" s="47"/>
      <c r="H41" s="22"/>
    </row>
  </sheetData>
  <mergeCells count="35">
    <mergeCell ref="B3:H3"/>
    <mergeCell ref="C4:G4"/>
    <mergeCell ref="C5:G5"/>
    <mergeCell ref="C6:G6"/>
    <mergeCell ref="C7:F7"/>
    <mergeCell ref="C8:F8"/>
    <mergeCell ref="C10:E10"/>
    <mergeCell ref="F10:G10"/>
    <mergeCell ref="C11:G11"/>
    <mergeCell ref="C12:E12"/>
    <mergeCell ref="F12:G12"/>
    <mergeCell ref="C13:G13"/>
    <mergeCell ref="C14:E14"/>
    <mergeCell ref="C15:E15"/>
    <mergeCell ref="C16:E16"/>
    <mergeCell ref="C17:E17"/>
    <mergeCell ref="C18:E18"/>
    <mergeCell ref="C19:G19"/>
    <mergeCell ref="C20:E20"/>
    <mergeCell ref="C21:E21"/>
    <mergeCell ref="C22:E22"/>
    <mergeCell ref="C23:E23"/>
    <mergeCell ref="C24:E24"/>
    <mergeCell ref="C25:E25"/>
    <mergeCell ref="C26:E26"/>
    <mergeCell ref="C27:E27"/>
    <mergeCell ref="C33:F33"/>
    <mergeCell ref="C35:F35"/>
    <mergeCell ref="C37:F37"/>
    <mergeCell ref="C41:G41"/>
    <mergeCell ref="C28:E28"/>
    <mergeCell ref="C29:E29"/>
    <mergeCell ref="C30:F30"/>
    <mergeCell ref="C31:E31"/>
    <mergeCell ref="C32:E32"/>
  </mergeCells>
  <pageMargins left="0.70866141732283472" right="0.51181102362204722" top="0.15748031496062992" bottom="0.15748031496062992" header="0.51181102362204722" footer="0.51181102362204722"/>
  <pageSetup paperSize="9" firstPageNumber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J44"/>
  <sheetViews>
    <sheetView topLeftCell="A7" zoomScalePageLayoutView="60" workbookViewId="0">
      <selection activeCell="J19" sqref="J19"/>
    </sheetView>
  </sheetViews>
  <sheetFormatPr defaultRowHeight="15"/>
  <cols>
    <col min="1" max="1" width="4.44140625"/>
    <col min="2" max="2" width="6.44140625"/>
    <col min="3" max="4" width="7.44140625"/>
    <col min="5" max="5" width="11.77734375"/>
    <col min="6" max="6" width="13"/>
    <col min="7" max="7" width="14.77734375"/>
    <col min="8" max="8" width="4.44140625"/>
    <col min="9" max="10" width="10" bestFit="1" customWidth="1"/>
    <col min="11" max="11" width="8.44140625"/>
    <col min="12" max="1025" width="7.44140625"/>
  </cols>
  <sheetData>
    <row r="2" spans="2:8" ht="15.75" thickBot="1"/>
    <row r="3" spans="2:8" ht="22.5">
      <c r="B3" s="70" t="s">
        <v>26</v>
      </c>
      <c r="C3" s="71"/>
      <c r="D3" s="71"/>
      <c r="E3" s="71"/>
      <c r="F3" s="71"/>
      <c r="G3" s="71"/>
      <c r="H3" s="72"/>
    </row>
    <row r="4" spans="2:8">
      <c r="B4" s="2"/>
      <c r="C4" s="73" t="s">
        <v>1</v>
      </c>
      <c r="D4" s="73"/>
      <c r="E4" s="73"/>
      <c r="F4" s="73"/>
      <c r="G4" s="73"/>
      <c r="H4" s="3"/>
    </row>
    <row r="5" spans="2:8" ht="18.75">
      <c r="B5" s="2"/>
      <c r="C5" s="74" t="s">
        <v>59</v>
      </c>
      <c r="D5" s="74"/>
      <c r="E5" s="74"/>
      <c r="F5" s="74"/>
      <c r="G5" s="74"/>
      <c r="H5" s="3"/>
    </row>
    <row r="6" spans="2:8" ht="18.75">
      <c r="B6" s="2"/>
      <c r="C6" s="75" t="s">
        <v>27</v>
      </c>
      <c r="D6" s="75"/>
      <c r="E6" s="75"/>
      <c r="F6" s="75"/>
      <c r="G6" s="75"/>
      <c r="H6" s="3"/>
    </row>
    <row r="7" spans="2:8" ht="15.75">
      <c r="B7" s="2"/>
      <c r="C7" s="76" t="s">
        <v>3</v>
      </c>
      <c r="D7" s="76"/>
      <c r="E7" s="76"/>
      <c r="F7" s="76"/>
      <c r="G7" s="4">
        <v>192</v>
      </c>
      <c r="H7" s="3"/>
    </row>
    <row r="8" spans="2:8" ht="15.75">
      <c r="B8" s="2"/>
      <c r="C8" s="57" t="s">
        <v>4</v>
      </c>
      <c r="D8" s="57"/>
      <c r="E8" s="57"/>
      <c r="F8" s="57"/>
      <c r="G8" s="32">
        <v>4718</v>
      </c>
      <c r="H8" s="3"/>
    </row>
    <row r="9" spans="2:8" ht="19.5" thickBot="1">
      <c r="B9" s="2"/>
      <c r="C9" s="5"/>
      <c r="D9" s="5"/>
      <c r="E9" s="5"/>
      <c r="F9" s="5"/>
      <c r="G9" s="6"/>
      <c r="H9" s="3"/>
    </row>
    <row r="10" spans="2:8" ht="33.75" customHeight="1" thickBot="1">
      <c r="B10" s="2"/>
      <c r="C10" s="84" t="s">
        <v>53</v>
      </c>
      <c r="D10" s="84"/>
      <c r="E10" s="84"/>
      <c r="F10" s="80">
        <v>721720.3</v>
      </c>
      <c r="G10" s="85"/>
      <c r="H10" s="3"/>
    </row>
    <row r="11" spans="2:8" ht="15.75" thickBot="1">
      <c r="B11" s="2"/>
      <c r="C11" s="86"/>
      <c r="D11" s="86"/>
      <c r="E11" s="86"/>
      <c r="F11" s="86"/>
      <c r="G11" s="86"/>
      <c r="H11" s="3"/>
    </row>
    <row r="12" spans="2:8" ht="28.5" customHeight="1" thickBot="1">
      <c r="B12" s="2"/>
      <c r="C12" s="84" t="s">
        <v>54</v>
      </c>
      <c r="D12" s="84"/>
      <c r="E12" s="84"/>
      <c r="F12" s="80">
        <v>-215015.84</v>
      </c>
      <c r="G12" s="85"/>
      <c r="H12" s="3"/>
    </row>
    <row r="13" spans="2:8" ht="18.75">
      <c r="B13" s="2"/>
      <c r="C13" s="75" t="s">
        <v>5</v>
      </c>
      <c r="D13" s="75"/>
      <c r="E13" s="75"/>
      <c r="F13" s="75"/>
      <c r="G13" s="75"/>
      <c r="H13" s="3"/>
    </row>
    <row r="14" spans="2:8" ht="15.75">
      <c r="B14" s="2"/>
      <c r="C14" s="87" t="s">
        <v>6</v>
      </c>
      <c r="D14" s="87"/>
      <c r="E14" s="87"/>
      <c r="F14" s="8" t="s">
        <v>7</v>
      </c>
      <c r="G14" s="8" t="s">
        <v>8</v>
      </c>
      <c r="H14" s="3"/>
    </row>
    <row r="15" spans="2:8" ht="15.75">
      <c r="B15" s="2"/>
      <c r="C15" s="88" t="s">
        <v>9</v>
      </c>
      <c r="D15" s="88"/>
      <c r="E15" s="88"/>
      <c r="F15" s="27">
        <f>983238.84-212409.93+289538.19+255695.73</f>
        <v>1316062.8299999998</v>
      </c>
      <c r="G15" s="27">
        <f>856905.12-185117.95+252336.21+201385.41</f>
        <v>1125508.7899999998</v>
      </c>
      <c r="H15" s="3"/>
    </row>
    <row r="16" spans="2:8" ht="15.75">
      <c r="B16" s="2"/>
      <c r="C16" s="88" t="s">
        <v>10</v>
      </c>
      <c r="D16" s="88"/>
      <c r="E16" s="88"/>
      <c r="F16" s="27">
        <f>212409.93+71353.65</f>
        <v>283763.57999999996</v>
      </c>
      <c r="G16" s="27">
        <f>185117.95+56197.96</f>
        <v>241315.91</v>
      </c>
      <c r="H16" s="3"/>
    </row>
    <row r="17" spans="2:10" ht="33" customHeight="1">
      <c r="B17" s="2"/>
      <c r="C17" s="88" t="s">
        <v>45</v>
      </c>
      <c r="D17" s="88"/>
      <c r="E17" s="88"/>
      <c r="F17" s="27">
        <f>47703.22+15972.36</f>
        <v>63675.58</v>
      </c>
      <c r="G17" s="27">
        <f>41573.96+12578.92</f>
        <v>54152.88</v>
      </c>
      <c r="H17" s="3"/>
    </row>
    <row r="18" spans="2:10" ht="18.75">
      <c r="B18" s="2"/>
      <c r="C18" s="44" t="s">
        <v>11</v>
      </c>
      <c r="D18" s="44"/>
      <c r="E18" s="44"/>
      <c r="F18" s="23">
        <f>SUM(F15:F17)</f>
        <v>1663501.9899999998</v>
      </c>
      <c r="G18" s="23">
        <f>SUM(G15:G17)</f>
        <v>1420977.5799999996</v>
      </c>
      <c r="H18" s="3"/>
      <c r="I18" s="7"/>
      <c r="J18" s="7">
        <f>F18-G18</f>
        <v>242524.41000000015</v>
      </c>
    </row>
    <row r="19" spans="2:10" ht="18.75">
      <c r="B19" s="2"/>
      <c r="C19" s="75" t="s">
        <v>12</v>
      </c>
      <c r="D19" s="75"/>
      <c r="E19" s="75"/>
      <c r="F19" s="75"/>
      <c r="G19" s="75"/>
      <c r="H19" s="3"/>
    </row>
    <row r="20" spans="2:10" ht="15.75">
      <c r="B20" s="2"/>
      <c r="C20" s="59" t="s">
        <v>42</v>
      </c>
      <c r="D20" s="59"/>
      <c r="E20" s="59"/>
      <c r="F20" s="9">
        <f>F17</f>
        <v>63675.58</v>
      </c>
      <c r="G20" s="11"/>
      <c r="H20" s="3"/>
    </row>
    <row r="21" spans="2:10" ht="15.75">
      <c r="B21" s="2"/>
      <c r="C21" s="43" t="s">
        <v>13</v>
      </c>
      <c r="D21" s="57"/>
      <c r="E21" s="58"/>
      <c r="F21" s="9">
        <f>SUM(F22:F28)</f>
        <v>1109568.92</v>
      </c>
      <c r="G21" s="11"/>
      <c r="H21" s="3"/>
    </row>
    <row r="22" spans="2:10" ht="15.75">
      <c r="B22" s="2"/>
      <c r="C22" s="43" t="s">
        <v>14</v>
      </c>
      <c r="D22" s="57"/>
      <c r="E22" s="58"/>
      <c r="F22" s="12">
        <f>160150.35+13064.9</f>
        <v>173215.25</v>
      </c>
      <c r="G22" s="11"/>
      <c r="H22" s="3"/>
    </row>
    <row r="23" spans="2:10" ht="15.75">
      <c r="B23" s="2"/>
      <c r="C23" s="43" t="s">
        <v>15</v>
      </c>
      <c r="D23" s="43"/>
      <c r="E23" s="43"/>
      <c r="F23" s="12">
        <f>338740</f>
        <v>338740</v>
      </c>
      <c r="G23" s="11"/>
      <c r="H23" s="3"/>
    </row>
    <row r="24" spans="2:10" ht="15.75">
      <c r="B24" s="2"/>
      <c r="C24" s="59" t="s">
        <v>16</v>
      </c>
      <c r="D24" s="59"/>
      <c r="E24" s="59"/>
      <c r="F24" s="12">
        <v>99040.35</v>
      </c>
      <c r="G24" s="11"/>
      <c r="H24" s="3"/>
    </row>
    <row r="25" spans="2:10" ht="15.75">
      <c r="B25" s="2"/>
      <c r="C25" s="59" t="s">
        <v>17</v>
      </c>
      <c r="D25" s="59"/>
      <c r="E25" s="59"/>
      <c r="F25" s="12">
        <f>113369.59+21493.86</f>
        <v>134863.45000000001</v>
      </c>
      <c r="G25" s="11"/>
      <c r="H25" s="3"/>
    </row>
    <row r="26" spans="2:10" ht="15.75">
      <c r="B26" s="2"/>
      <c r="C26" s="59" t="s">
        <v>18</v>
      </c>
      <c r="D26" s="59"/>
      <c r="E26" s="59"/>
      <c r="F26" s="12">
        <f>73753.45</f>
        <v>73753.45</v>
      </c>
      <c r="G26" s="11"/>
      <c r="H26" s="3"/>
    </row>
    <row r="27" spans="2:10" ht="15.75">
      <c r="B27" s="2"/>
      <c r="C27" s="59" t="s">
        <v>19</v>
      </c>
      <c r="D27" s="59"/>
      <c r="E27" s="59"/>
      <c r="F27" s="12">
        <f>144978.21</f>
        <v>144978.21</v>
      </c>
      <c r="G27" s="11"/>
      <c r="H27" s="3"/>
    </row>
    <row r="28" spans="2:10" ht="45.75" customHeight="1">
      <c r="B28" s="2"/>
      <c r="C28" s="43" t="s">
        <v>29</v>
      </c>
      <c r="D28" s="43"/>
      <c r="E28" s="43"/>
      <c r="F28" s="12">
        <f>133599.11+9271.86+2107.24</f>
        <v>144978.20999999996</v>
      </c>
      <c r="G28" s="11"/>
      <c r="H28" s="3"/>
    </row>
    <row r="29" spans="2:10" ht="15.75">
      <c r="B29" s="2"/>
      <c r="C29" s="43" t="s">
        <v>10</v>
      </c>
      <c r="D29" s="43"/>
      <c r="E29" s="43"/>
      <c r="F29" s="12">
        <f>432+20753+901+3777+9434+30067+52853+10481+16828+9661+6795+1037+652220</f>
        <v>815239</v>
      </c>
      <c r="G29" s="11"/>
      <c r="H29" s="3"/>
      <c r="J29">
        <f>34200+7500+60300+275110+275110</f>
        <v>652220</v>
      </c>
    </row>
    <row r="30" spans="2:10" ht="18.75">
      <c r="B30" s="2"/>
      <c r="C30" s="44" t="s">
        <v>20</v>
      </c>
      <c r="D30" s="44"/>
      <c r="E30" s="44"/>
      <c r="F30" s="10">
        <f>F20+F21+F29</f>
        <v>1988483.5</v>
      </c>
      <c r="G30" s="24"/>
      <c r="H30" s="3"/>
    </row>
    <row r="31" spans="2:10" ht="18.75">
      <c r="B31" s="2"/>
      <c r="C31" s="45"/>
      <c r="D31" s="45"/>
      <c r="E31" s="45"/>
      <c r="F31" s="45"/>
      <c r="G31" s="13"/>
      <c r="H31" s="3"/>
    </row>
    <row r="32" spans="2:10" ht="15.75">
      <c r="B32" s="2"/>
      <c r="C32" s="46" t="s">
        <v>43</v>
      </c>
      <c r="D32" s="46"/>
      <c r="E32" s="46"/>
      <c r="F32" s="10">
        <f>1650.87+553.32</f>
        <v>2204.19</v>
      </c>
      <c r="G32" s="10">
        <f>1438.75+435.78</f>
        <v>1874.53</v>
      </c>
      <c r="H32" s="3"/>
      <c r="J32" s="7">
        <f>F32-G32</f>
        <v>329.66000000000008</v>
      </c>
    </row>
    <row r="33" spans="2:8" ht="15.75">
      <c r="B33" s="2"/>
      <c r="C33" s="46" t="s">
        <v>44</v>
      </c>
      <c r="D33" s="46"/>
      <c r="E33" s="46"/>
      <c r="F33" s="10"/>
      <c r="G33" s="10"/>
      <c r="H33" s="3"/>
    </row>
    <row r="34" spans="2:8" ht="18.75">
      <c r="B34" s="2"/>
      <c r="C34" s="49"/>
      <c r="D34" s="49"/>
      <c r="E34" s="49"/>
      <c r="F34" s="49"/>
      <c r="G34" s="50"/>
      <c r="H34" s="3"/>
    </row>
    <row r="35" spans="2:8" ht="39.75" customHeight="1">
      <c r="B35" s="2"/>
      <c r="C35" s="54" t="s">
        <v>56</v>
      </c>
      <c r="D35" s="54"/>
      <c r="E35" s="54"/>
      <c r="F35" s="54"/>
      <c r="G35" s="26">
        <f>F29-G16+F12</f>
        <v>358907.25</v>
      </c>
      <c r="H35" s="3"/>
    </row>
    <row r="36" spans="2:8" ht="15.75">
      <c r="B36" s="2"/>
      <c r="C36" s="15"/>
      <c r="D36" s="15"/>
      <c r="E36" s="15"/>
      <c r="F36" s="15"/>
      <c r="G36" s="16"/>
      <c r="H36" s="3"/>
    </row>
    <row r="37" spans="2:8" ht="36.75" customHeight="1">
      <c r="B37" s="2"/>
      <c r="C37" s="48" t="s">
        <v>57</v>
      </c>
      <c r="D37" s="48"/>
      <c r="E37" s="48"/>
      <c r="F37" s="48"/>
      <c r="G37" s="23">
        <f>(F15-G15)+(F17-G17)+F10</f>
        <v>921797.04</v>
      </c>
      <c r="H37" s="3"/>
    </row>
    <row r="38" spans="2:8" ht="15.75">
      <c r="B38" s="2"/>
      <c r="C38" s="30"/>
      <c r="D38" s="30"/>
      <c r="E38" s="30"/>
      <c r="F38" s="30"/>
      <c r="G38" s="17"/>
      <c r="H38" s="3"/>
    </row>
    <row r="39" spans="2:8" ht="31.5" customHeight="1">
      <c r="B39" s="2"/>
      <c r="C39" s="48" t="s">
        <v>58</v>
      </c>
      <c r="D39" s="48"/>
      <c r="E39" s="48"/>
      <c r="F39" s="48"/>
      <c r="G39" s="14">
        <f>G35+G37</f>
        <v>1280704.29</v>
      </c>
      <c r="H39" s="3"/>
    </row>
    <row r="40" spans="2:8">
      <c r="B40" s="18" t="s">
        <v>21</v>
      </c>
      <c r="C40" s="19"/>
      <c r="D40" s="19"/>
      <c r="E40" s="19"/>
      <c r="F40" s="19"/>
      <c r="G40" s="19"/>
      <c r="H40" s="20"/>
    </row>
    <row r="41" spans="2:8">
      <c r="B41" s="18" t="s">
        <v>22</v>
      </c>
      <c r="C41" s="19"/>
      <c r="D41" s="19"/>
      <c r="E41" s="19"/>
      <c r="F41" s="19"/>
      <c r="G41" s="19"/>
      <c r="H41" s="20"/>
    </row>
    <row r="42" spans="2:8">
      <c r="B42" s="18" t="s">
        <v>23</v>
      </c>
      <c r="C42" s="19"/>
      <c r="D42" s="19"/>
      <c r="E42" s="19"/>
      <c r="F42" s="19"/>
      <c r="G42" s="19"/>
      <c r="H42" s="20"/>
    </row>
    <row r="43" spans="2:8">
      <c r="B43" s="18"/>
      <c r="C43" s="86" t="s">
        <v>24</v>
      </c>
      <c r="D43" s="86"/>
      <c r="E43" s="86"/>
      <c r="F43" s="86"/>
      <c r="G43" s="86"/>
      <c r="H43" s="20"/>
    </row>
    <row r="44" spans="2:8" ht="15.75" thickBot="1">
      <c r="B44" s="21"/>
      <c r="C44" s="89" t="s">
        <v>46</v>
      </c>
      <c r="D44" s="89"/>
      <c r="E44" s="89"/>
      <c r="F44" s="89"/>
      <c r="G44" s="89"/>
      <c r="H44" s="22"/>
    </row>
  </sheetData>
  <mergeCells count="38">
    <mergeCell ref="C43:G43"/>
    <mergeCell ref="C44:G44"/>
    <mergeCell ref="C33:E33"/>
    <mergeCell ref="C34:G34"/>
    <mergeCell ref="C35:F35"/>
    <mergeCell ref="C37:F37"/>
    <mergeCell ref="C39:F39"/>
    <mergeCell ref="C28:E28"/>
    <mergeCell ref="C29:E29"/>
    <mergeCell ref="C30:E30"/>
    <mergeCell ref="C31:F31"/>
    <mergeCell ref="C32:E32"/>
    <mergeCell ref="C23:E23"/>
    <mergeCell ref="C24:E24"/>
    <mergeCell ref="C25:E25"/>
    <mergeCell ref="C26:E26"/>
    <mergeCell ref="C27:E27"/>
    <mergeCell ref="C18:E18"/>
    <mergeCell ref="C19:G19"/>
    <mergeCell ref="C20:E20"/>
    <mergeCell ref="C21:E21"/>
    <mergeCell ref="C22:E22"/>
    <mergeCell ref="C13:G13"/>
    <mergeCell ref="C14:E14"/>
    <mergeCell ref="C15:E15"/>
    <mergeCell ref="C16:E16"/>
    <mergeCell ref="C17:E17"/>
    <mergeCell ref="C8:F8"/>
    <mergeCell ref="C10:E10"/>
    <mergeCell ref="F10:G10"/>
    <mergeCell ref="C11:G11"/>
    <mergeCell ref="C12:E12"/>
    <mergeCell ref="F12:G12"/>
    <mergeCell ref="B3:H3"/>
    <mergeCell ref="C4:G4"/>
    <mergeCell ref="C5:G5"/>
    <mergeCell ref="C6:G6"/>
    <mergeCell ref="C7:F7"/>
  </mergeCells>
  <pageMargins left="0.70833333333333304" right="0.70833333333333304" top="0.15763888888888899" bottom="0.15763888888888899" header="0.51180555555555496" footer="0.51180555555555496"/>
  <pageSetup paperSize="9" firstPageNumber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K43"/>
  <sheetViews>
    <sheetView topLeftCell="A13" zoomScalePageLayoutView="60" workbookViewId="0">
      <selection activeCell="J19" sqref="J19"/>
    </sheetView>
  </sheetViews>
  <sheetFormatPr defaultRowHeight="15"/>
  <cols>
    <col min="1" max="1" width="5.21875"/>
    <col min="2" max="2" width="5.44140625" customWidth="1"/>
    <col min="3" max="4" width="7.44140625"/>
    <col min="5" max="5" width="11.33203125"/>
    <col min="6" max="6" width="14.109375"/>
    <col min="7" max="7" width="14.33203125"/>
    <col min="8" max="8" width="4.44140625"/>
    <col min="9" max="9" width="7.44140625"/>
    <col min="10" max="11" width="10" bestFit="1" customWidth="1"/>
    <col min="12" max="1025" width="7.44140625"/>
  </cols>
  <sheetData>
    <row r="2" spans="2:8" ht="15.75" thickBot="1"/>
    <row r="3" spans="2:8" ht="22.5">
      <c r="B3" s="70" t="s">
        <v>28</v>
      </c>
      <c r="C3" s="71"/>
      <c r="D3" s="71"/>
      <c r="E3" s="71"/>
      <c r="F3" s="71"/>
      <c r="G3" s="71"/>
      <c r="H3" s="72"/>
    </row>
    <row r="4" spans="2:8">
      <c r="B4" s="2"/>
      <c r="C4" s="73" t="s">
        <v>1</v>
      </c>
      <c r="D4" s="73"/>
      <c r="E4" s="73"/>
      <c r="F4" s="73"/>
      <c r="G4" s="73"/>
      <c r="H4" s="3"/>
    </row>
    <row r="5" spans="2:8" ht="18.75">
      <c r="B5" s="2"/>
      <c r="C5" s="74" t="s">
        <v>59</v>
      </c>
      <c r="D5" s="74"/>
      <c r="E5" s="74"/>
      <c r="F5" s="74"/>
      <c r="G5" s="74"/>
      <c r="H5" s="3"/>
    </row>
    <row r="6" spans="2:8" ht="18.75">
      <c r="B6" s="2"/>
      <c r="C6" s="75" t="s">
        <v>49</v>
      </c>
      <c r="D6" s="75"/>
      <c r="E6" s="75"/>
      <c r="F6" s="75"/>
      <c r="G6" s="75"/>
      <c r="H6" s="3"/>
    </row>
    <row r="7" spans="2:8" ht="15.75">
      <c r="B7" s="2"/>
      <c r="C7" s="76" t="s">
        <v>3</v>
      </c>
      <c r="D7" s="76"/>
      <c r="E7" s="76"/>
      <c r="F7" s="76"/>
      <c r="G7" s="4">
        <v>340</v>
      </c>
      <c r="H7" s="3"/>
    </row>
    <row r="8" spans="2:8" ht="15.75">
      <c r="B8" s="2"/>
      <c r="C8" s="57" t="s">
        <v>4</v>
      </c>
      <c r="D8" s="57"/>
      <c r="E8" s="57"/>
      <c r="F8" s="57"/>
      <c r="G8" s="33">
        <v>7513.8</v>
      </c>
      <c r="H8" s="3"/>
    </row>
    <row r="9" spans="2:8" ht="19.5" thickBot="1">
      <c r="B9" s="2"/>
      <c r="C9" s="5"/>
      <c r="D9" s="5"/>
      <c r="E9" s="5"/>
      <c r="F9" s="5"/>
      <c r="G9" s="6"/>
      <c r="H9" s="3"/>
    </row>
    <row r="10" spans="2:8" ht="30" customHeight="1" thickBot="1">
      <c r="B10" s="2"/>
      <c r="C10" s="84" t="s">
        <v>53</v>
      </c>
      <c r="D10" s="84"/>
      <c r="E10" s="84"/>
      <c r="F10" s="80">
        <v>550025.5</v>
      </c>
      <c r="G10" s="85"/>
      <c r="H10" s="3"/>
    </row>
    <row r="11" spans="2:8" ht="15.75" thickBot="1">
      <c r="B11" s="2"/>
      <c r="C11" s="86"/>
      <c r="D11" s="86"/>
      <c r="E11" s="86"/>
      <c r="F11" s="86"/>
      <c r="G11" s="86"/>
      <c r="H11" s="3"/>
    </row>
    <row r="12" spans="2:8" ht="32.25" customHeight="1" thickBot="1">
      <c r="B12" s="2"/>
      <c r="C12" s="84" t="s">
        <v>54</v>
      </c>
      <c r="D12" s="84"/>
      <c r="E12" s="84"/>
      <c r="F12" s="80">
        <v>59660.88</v>
      </c>
      <c r="G12" s="85"/>
      <c r="H12" s="3"/>
    </row>
    <row r="13" spans="2:8" ht="18.75">
      <c r="B13" s="2"/>
      <c r="C13" s="75" t="s">
        <v>5</v>
      </c>
      <c r="D13" s="75"/>
      <c r="E13" s="75"/>
      <c r="F13" s="75"/>
      <c r="G13" s="75"/>
      <c r="H13" s="3"/>
    </row>
    <row r="14" spans="2:8" ht="15.75">
      <c r="B14" s="2"/>
      <c r="C14" s="87" t="s">
        <v>6</v>
      </c>
      <c r="D14" s="87"/>
      <c r="E14" s="87"/>
      <c r="F14" s="8" t="s">
        <v>7</v>
      </c>
      <c r="G14" s="8" t="s">
        <v>8</v>
      </c>
      <c r="H14" s="3"/>
    </row>
    <row r="15" spans="2:8" ht="15.75">
      <c r="B15" s="2"/>
      <c r="C15" s="88" t="s">
        <v>9</v>
      </c>
      <c r="D15" s="88"/>
      <c r="E15" s="88"/>
      <c r="F15" s="27">
        <f>1453247.1-304309.54+375998.67-17557.65</f>
        <v>1507378.58</v>
      </c>
      <c r="G15" s="27">
        <f>1442914.95-302145.99+336856.05</f>
        <v>1477625.01</v>
      </c>
      <c r="H15" s="3"/>
    </row>
    <row r="16" spans="2:8" ht="15.75">
      <c r="B16" s="2"/>
      <c r="C16" s="88" t="s">
        <v>10</v>
      </c>
      <c r="D16" s="88"/>
      <c r="E16" s="88"/>
      <c r="F16" s="27">
        <f>304309.54+102564.48</f>
        <v>406874.01999999996</v>
      </c>
      <c r="G16" s="27">
        <f>302145.99+90478.79</f>
        <v>392624.77999999997</v>
      </c>
      <c r="H16" s="3"/>
    </row>
    <row r="17" spans="2:11" ht="33" customHeight="1">
      <c r="B17" s="2"/>
      <c r="C17" s="88" t="s">
        <v>45</v>
      </c>
      <c r="D17" s="88"/>
      <c r="E17" s="88"/>
      <c r="F17" s="27">
        <f>95825.49+31944.69</f>
        <v>127770.18000000001</v>
      </c>
      <c r="G17" s="27">
        <f>95492.63+28191.6</f>
        <v>123684.23000000001</v>
      </c>
      <c r="H17" s="3"/>
    </row>
    <row r="18" spans="2:11" ht="18.75">
      <c r="B18" s="2"/>
      <c r="C18" s="44" t="s">
        <v>11</v>
      </c>
      <c r="D18" s="44"/>
      <c r="E18" s="44"/>
      <c r="F18" s="23">
        <f>SUM(F15:F17)</f>
        <v>2042022.78</v>
      </c>
      <c r="G18" s="23">
        <f>SUM(G15:G17)</f>
        <v>1993934.02</v>
      </c>
      <c r="H18" s="3"/>
      <c r="J18" s="7">
        <f>F18-G18</f>
        <v>48088.760000000009</v>
      </c>
      <c r="K18" s="7"/>
    </row>
    <row r="19" spans="2:11" ht="18.75">
      <c r="B19" s="2"/>
      <c r="C19" s="75" t="s">
        <v>12</v>
      </c>
      <c r="D19" s="75"/>
      <c r="E19" s="75"/>
      <c r="F19" s="75"/>
      <c r="G19" s="75"/>
      <c r="H19" s="3"/>
    </row>
    <row r="20" spans="2:11" ht="15.75">
      <c r="B20" s="2"/>
      <c r="C20" s="59" t="s">
        <v>42</v>
      </c>
      <c r="D20" s="59"/>
      <c r="E20" s="59"/>
      <c r="F20" s="9">
        <f>F17</f>
        <v>127770.18000000001</v>
      </c>
      <c r="G20" s="11"/>
      <c r="H20" s="3"/>
    </row>
    <row r="21" spans="2:11" ht="15.75">
      <c r="B21" s="2"/>
      <c r="C21" s="43" t="s">
        <v>13</v>
      </c>
      <c r="D21" s="57"/>
      <c r="E21" s="58"/>
      <c r="F21" s="9">
        <f>SUM(F22:F27)</f>
        <v>1507378.5799999998</v>
      </c>
      <c r="G21" s="11"/>
      <c r="H21" s="3"/>
      <c r="J21" s="7"/>
    </row>
    <row r="22" spans="2:11" ht="15.75">
      <c r="B22" s="2"/>
      <c r="C22" s="43" t="s">
        <v>14</v>
      </c>
      <c r="D22" s="57"/>
      <c r="E22" s="58"/>
      <c r="F22" s="12">
        <f>177175.78+53205.9-5852.55-11705.08</f>
        <v>212824.05000000002</v>
      </c>
      <c r="G22" s="11"/>
      <c r="H22" s="3"/>
    </row>
    <row r="23" spans="2:11" ht="15.75">
      <c r="B23" s="2"/>
      <c r="C23" s="59" t="s">
        <v>16</v>
      </c>
      <c r="D23" s="59"/>
      <c r="E23" s="59"/>
      <c r="F23" s="12">
        <f>192729.37+64242.97</f>
        <v>256972.34</v>
      </c>
      <c r="G23" s="11"/>
      <c r="H23" s="3"/>
    </row>
    <row r="24" spans="2:11" ht="15.75">
      <c r="B24" s="2"/>
      <c r="C24" s="59" t="s">
        <v>17</v>
      </c>
      <c r="D24" s="59"/>
      <c r="E24" s="59"/>
      <c r="F24" s="12">
        <f>181909.48+34488.41+72132.46</f>
        <v>288530.35000000003</v>
      </c>
      <c r="G24" s="11"/>
      <c r="H24" s="3"/>
    </row>
    <row r="25" spans="2:11" ht="15.75">
      <c r="B25" s="2"/>
      <c r="C25" s="59" t="s">
        <v>18</v>
      </c>
      <c r="D25" s="59"/>
      <c r="E25" s="59"/>
      <c r="F25" s="12">
        <f>118342.6+39447.44</f>
        <v>157790.04</v>
      </c>
      <c r="G25" s="11"/>
      <c r="H25" s="3"/>
    </row>
    <row r="26" spans="2:11" ht="15.75">
      <c r="B26" s="2"/>
      <c r="C26" s="59" t="s">
        <v>19</v>
      </c>
      <c r="D26" s="59"/>
      <c r="E26" s="59"/>
      <c r="F26" s="12">
        <f>232627.73+77542.39</f>
        <v>310170.12</v>
      </c>
      <c r="G26" s="11"/>
      <c r="H26" s="3"/>
    </row>
    <row r="27" spans="2:11" ht="46.5" customHeight="1">
      <c r="B27" s="2"/>
      <c r="C27" s="43" t="s">
        <v>29</v>
      </c>
      <c r="D27" s="43"/>
      <c r="E27" s="43"/>
      <c r="F27" s="12">
        <f>193405.62+14877.36+3381.22+69427.48</f>
        <v>281091.68</v>
      </c>
      <c r="G27" s="11"/>
      <c r="H27" s="3"/>
    </row>
    <row r="28" spans="2:11" ht="15.75">
      <c r="B28" s="2"/>
      <c r="C28" s="43" t="s">
        <v>10</v>
      </c>
      <c r="D28" s="43"/>
      <c r="E28" s="43"/>
      <c r="F28" s="12">
        <f>871+2860+6078+5870+50220+1555+383+8088+6754+5289+24752+428442</f>
        <v>541162</v>
      </c>
      <c r="G28" s="11"/>
      <c r="H28" s="3"/>
    </row>
    <row r="29" spans="2:11" ht="18.75">
      <c r="B29" s="2"/>
      <c r="C29" s="44" t="s">
        <v>20</v>
      </c>
      <c r="D29" s="44"/>
      <c r="E29" s="44"/>
      <c r="F29" s="10">
        <f>F20+F21+F28</f>
        <v>2176310.7599999998</v>
      </c>
      <c r="G29" s="24"/>
      <c r="H29" s="3"/>
    </row>
    <row r="30" spans="2:11" ht="18.75">
      <c r="B30" s="2"/>
      <c r="C30" s="45"/>
      <c r="D30" s="45"/>
      <c r="E30" s="45"/>
      <c r="F30" s="45"/>
      <c r="G30" s="13"/>
      <c r="H30" s="3"/>
    </row>
    <row r="31" spans="2:11" ht="15.75">
      <c r="B31" s="2"/>
      <c r="C31" s="46" t="s">
        <v>43</v>
      </c>
      <c r="D31" s="46"/>
      <c r="E31" s="46"/>
      <c r="F31" s="10">
        <f>2408.97+803.07</f>
        <v>3212.04</v>
      </c>
      <c r="G31" s="10">
        <f>2391.85+708.42</f>
        <v>3100.27</v>
      </c>
      <c r="H31" s="3"/>
      <c r="J31" s="7">
        <f>F31-G31</f>
        <v>111.76999999999998</v>
      </c>
    </row>
    <row r="32" spans="2:11" ht="15.75">
      <c r="B32" s="2"/>
      <c r="C32" s="46" t="s">
        <v>44</v>
      </c>
      <c r="D32" s="46"/>
      <c r="E32" s="46"/>
      <c r="F32" s="10"/>
      <c r="G32" s="10"/>
      <c r="H32" s="3"/>
    </row>
    <row r="33" spans="2:8" ht="18.75">
      <c r="B33" s="2"/>
      <c r="C33" s="49"/>
      <c r="D33" s="49"/>
      <c r="E33" s="49"/>
      <c r="F33" s="49"/>
      <c r="G33" s="50"/>
      <c r="H33" s="3"/>
    </row>
    <row r="34" spans="2:8" ht="29.25" customHeight="1">
      <c r="B34" s="2"/>
      <c r="C34" s="54" t="s">
        <v>56</v>
      </c>
      <c r="D34" s="54"/>
      <c r="E34" s="54"/>
      <c r="F34" s="54"/>
      <c r="G34" s="26">
        <f>F28-G16+F12</f>
        <v>208198.10000000003</v>
      </c>
      <c r="H34" s="3"/>
    </row>
    <row r="35" spans="2:8" ht="15.75">
      <c r="B35" s="2"/>
      <c r="C35" s="15"/>
      <c r="D35" s="15"/>
      <c r="E35" s="15"/>
      <c r="F35" s="15"/>
      <c r="G35" s="16"/>
      <c r="H35" s="3"/>
    </row>
    <row r="36" spans="2:8" ht="32.25" customHeight="1">
      <c r="B36" s="2"/>
      <c r="C36" s="48" t="s">
        <v>57</v>
      </c>
      <c r="D36" s="48"/>
      <c r="E36" s="48"/>
      <c r="F36" s="48"/>
      <c r="G36" s="23">
        <f>(F15-G15)+(F17-G17)+F10</f>
        <v>583865.02</v>
      </c>
      <c r="H36" s="3"/>
    </row>
    <row r="37" spans="2:8" ht="15.75">
      <c r="B37" s="2"/>
      <c r="C37" s="30"/>
      <c r="D37" s="30"/>
      <c r="E37" s="30"/>
      <c r="F37" s="30"/>
      <c r="G37" s="17"/>
      <c r="H37" s="3"/>
    </row>
    <row r="38" spans="2:8" ht="30.75" customHeight="1">
      <c r="B38" s="2"/>
      <c r="C38" s="48" t="s">
        <v>58</v>
      </c>
      <c r="D38" s="48"/>
      <c r="E38" s="48"/>
      <c r="F38" s="48"/>
      <c r="G38" s="14">
        <f>G34+G36</f>
        <v>792063.12000000011</v>
      </c>
      <c r="H38" s="3"/>
    </row>
    <row r="39" spans="2:8">
      <c r="B39" s="18" t="s">
        <v>21</v>
      </c>
      <c r="C39" s="19"/>
      <c r="D39" s="19"/>
      <c r="E39" s="19"/>
      <c r="F39" s="19"/>
      <c r="G39" s="19"/>
      <c r="H39" s="20"/>
    </row>
    <row r="40" spans="2:8">
      <c r="B40" s="18" t="s">
        <v>22</v>
      </c>
      <c r="C40" s="19"/>
      <c r="D40" s="19"/>
      <c r="E40" s="19"/>
      <c r="F40" s="19"/>
      <c r="G40" s="19"/>
      <c r="H40" s="20"/>
    </row>
    <row r="41" spans="2:8">
      <c r="B41" s="18" t="s">
        <v>23</v>
      </c>
      <c r="C41" s="19"/>
      <c r="D41" s="19"/>
      <c r="E41" s="19"/>
      <c r="F41" s="19"/>
      <c r="G41" s="19"/>
      <c r="H41" s="20"/>
    </row>
    <row r="42" spans="2:8">
      <c r="B42" s="18"/>
      <c r="C42" s="86" t="s">
        <v>24</v>
      </c>
      <c r="D42" s="86"/>
      <c r="E42" s="86"/>
      <c r="F42" s="86"/>
      <c r="G42" s="86"/>
      <c r="H42" s="20"/>
    </row>
    <row r="43" spans="2:8" ht="15.75" thickBot="1">
      <c r="B43" s="21"/>
      <c r="C43" s="89" t="s">
        <v>46</v>
      </c>
      <c r="D43" s="89"/>
      <c r="E43" s="89"/>
      <c r="F43" s="89"/>
      <c r="G43" s="89"/>
      <c r="H43" s="22"/>
    </row>
  </sheetData>
  <mergeCells count="37">
    <mergeCell ref="B3:H3"/>
    <mergeCell ref="C4:G4"/>
    <mergeCell ref="C5:G5"/>
    <mergeCell ref="C6:G6"/>
    <mergeCell ref="C7:F7"/>
    <mergeCell ref="C8:F8"/>
    <mergeCell ref="C10:E10"/>
    <mergeCell ref="F10:G10"/>
    <mergeCell ref="C11:G11"/>
    <mergeCell ref="C12:E12"/>
    <mergeCell ref="F12:G12"/>
    <mergeCell ref="C13:G13"/>
    <mergeCell ref="C14:E14"/>
    <mergeCell ref="C15:E15"/>
    <mergeCell ref="C16:E16"/>
    <mergeCell ref="C17:E17"/>
    <mergeCell ref="C18:E18"/>
    <mergeCell ref="C19:G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F30"/>
    <mergeCell ref="C31:E31"/>
    <mergeCell ref="C32:E32"/>
    <mergeCell ref="C43:G43"/>
    <mergeCell ref="C33:G33"/>
    <mergeCell ref="C34:F34"/>
    <mergeCell ref="C36:F36"/>
    <mergeCell ref="C38:F38"/>
    <mergeCell ref="C42:G42"/>
  </mergeCells>
  <pageMargins left="0.70833333333333304" right="0.70833333333333304" top="0.15763888888888899" bottom="0.15763888888888899" header="0.51180555555555496" footer="0.51180555555555496"/>
  <pageSetup paperSize="9" firstPageNumber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K43"/>
  <sheetViews>
    <sheetView topLeftCell="A7" zoomScalePageLayoutView="60" workbookViewId="0">
      <selection activeCell="J19" sqref="J19"/>
    </sheetView>
  </sheetViews>
  <sheetFormatPr defaultRowHeight="15"/>
  <cols>
    <col min="1" max="1" width="5.21875"/>
    <col min="2" max="2" width="4.88671875" customWidth="1"/>
    <col min="3" max="4" width="7.44140625"/>
    <col min="5" max="5" width="11.33203125"/>
    <col min="6" max="6" width="14.109375"/>
    <col min="7" max="7" width="13.6640625" customWidth="1"/>
    <col min="8" max="8" width="4.44140625"/>
    <col min="9" max="9" width="7.44140625"/>
    <col min="10" max="11" width="10" bestFit="1" customWidth="1"/>
    <col min="12" max="1025" width="7.44140625"/>
  </cols>
  <sheetData>
    <row r="2" spans="2:8" ht="15.75" thickBot="1"/>
    <row r="3" spans="2:8" ht="22.5">
      <c r="B3" s="70" t="s">
        <v>50</v>
      </c>
      <c r="C3" s="71"/>
      <c r="D3" s="71"/>
      <c r="E3" s="71"/>
      <c r="F3" s="71"/>
      <c r="G3" s="71"/>
      <c r="H3" s="72"/>
    </row>
    <row r="4" spans="2:8">
      <c r="B4" s="2"/>
      <c r="C4" s="73" t="s">
        <v>1</v>
      </c>
      <c r="D4" s="73"/>
      <c r="E4" s="73"/>
      <c r="F4" s="73"/>
      <c r="G4" s="73"/>
      <c r="H4" s="3"/>
    </row>
    <row r="5" spans="2:8" ht="18.75">
      <c r="B5" s="2"/>
      <c r="C5" s="74" t="s">
        <v>59</v>
      </c>
      <c r="D5" s="74"/>
      <c r="E5" s="74"/>
      <c r="F5" s="74"/>
      <c r="G5" s="74"/>
      <c r="H5" s="3"/>
    </row>
    <row r="6" spans="2:8" ht="18.75">
      <c r="B6" s="2"/>
      <c r="C6" s="75" t="s">
        <v>30</v>
      </c>
      <c r="D6" s="75"/>
      <c r="E6" s="75"/>
      <c r="F6" s="75"/>
      <c r="G6" s="75"/>
      <c r="H6" s="3"/>
    </row>
    <row r="7" spans="2:8" ht="15.75">
      <c r="B7" s="2"/>
      <c r="C7" s="76" t="s">
        <v>3</v>
      </c>
      <c r="D7" s="76"/>
      <c r="E7" s="76"/>
      <c r="F7" s="76"/>
      <c r="G7" s="4">
        <v>272</v>
      </c>
      <c r="H7" s="3"/>
    </row>
    <row r="8" spans="2:8" ht="15.75">
      <c r="B8" s="2"/>
      <c r="C8" s="57" t="s">
        <v>4</v>
      </c>
      <c r="D8" s="57"/>
      <c r="E8" s="57"/>
      <c r="F8" s="57"/>
      <c r="G8" s="33">
        <v>8191.1</v>
      </c>
      <c r="H8" s="3"/>
    </row>
    <row r="9" spans="2:8" ht="19.5" thickBot="1">
      <c r="B9" s="2"/>
      <c r="C9" s="5"/>
      <c r="D9" s="5"/>
      <c r="E9" s="5"/>
      <c r="F9" s="5"/>
      <c r="G9" s="6"/>
      <c r="H9" s="3"/>
    </row>
    <row r="10" spans="2:8" ht="34.5" customHeight="1" thickBot="1">
      <c r="B10" s="2"/>
      <c r="C10" s="84" t="s">
        <v>53</v>
      </c>
      <c r="D10" s="84"/>
      <c r="E10" s="84"/>
      <c r="F10" s="80">
        <v>370542.1</v>
      </c>
      <c r="G10" s="85"/>
      <c r="H10" s="3"/>
    </row>
    <row r="11" spans="2:8" ht="15.75" thickBot="1">
      <c r="B11" s="2"/>
      <c r="C11" s="86"/>
      <c r="D11" s="86"/>
      <c r="E11" s="86"/>
      <c r="F11" s="86"/>
      <c r="G11" s="86"/>
      <c r="H11" s="3"/>
    </row>
    <row r="12" spans="2:8" ht="27.75" customHeight="1" thickBot="1">
      <c r="B12" s="2"/>
      <c r="C12" s="84" t="s">
        <v>54</v>
      </c>
      <c r="D12" s="84"/>
      <c r="E12" s="84"/>
      <c r="F12" s="80">
        <v>-33624.269999999997</v>
      </c>
      <c r="G12" s="85"/>
      <c r="H12" s="3"/>
    </row>
    <row r="13" spans="2:8" ht="18.75">
      <c r="B13" s="2"/>
      <c r="C13" s="75" t="s">
        <v>5</v>
      </c>
      <c r="D13" s="75"/>
      <c r="E13" s="75"/>
      <c r="F13" s="75"/>
      <c r="G13" s="75"/>
      <c r="H13" s="3"/>
    </row>
    <row r="14" spans="2:8" ht="15.75">
      <c r="B14" s="2"/>
      <c r="C14" s="87" t="s">
        <v>6</v>
      </c>
      <c r="D14" s="87"/>
      <c r="E14" s="87"/>
      <c r="F14" s="8" t="s">
        <v>7</v>
      </c>
      <c r="G14" s="8" t="s">
        <v>8</v>
      </c>
      <c r="H14" s="3"/>
    </row>
    <row r="15" spans="2:8" ht="15.75">
      <c r="B15" s="2"/>
      <c r="C15" s="88" t="s">
        <v>9</v>
      </c>
      <c r="D15" s="88"/>
      <c r="E15" s="88"/>
      <c r="F15" s="27">
        <f>1582537.22-331382.85-1706.32+416271.66</f>
        <v>1665719.71</v>
      </c>
      <c r="G15" s="27">
        <f>1547387.97-324022.62+385316.88</f>
        <v>1608682.23</v>
      </c>
      <c r="H15" s="3"/>
    </row>
    <row r="16" spans="2:8" ht="15.75">
      <c r="B16" s="2"/>
      <c r="C16" s="88" t="s">
        <v>10</v>
      </c>
      <c r="D16" s="88"/>
      <c r="E16" s="88"/>
      <c r="F16" s="27">
        <f>331382.85+111809.52</f>
        <v>443192.37</v>
      </c>
      <c r="G16" s="27">
        <f>324022.62+103495.06</f>
        <v>427517.68</v>
      </c>
      <c r="H16" s="3"/>
    </row>
    <row r="17" spans="2:11" ht="30.75" customHeight="1">
      <c r="B17" s="2"/>
      <c r="C17" s="88" t="s">
        <v>45</v>
      </c>
      <c r="D17" s="88"/>
      <c r="E17" s="88"/>
      <c r="F17" s="27">
        <f>95667.34+31944.84</f>
        <v>127612.18</v>
      </c>
      <c r="G17" s="27">
        <f>92126.48+29081.35</f>
        <v>121207.82999999999</v>
      </c>
      <c r="H17" s="3"/>
    </row>
    <row r="18" spans="2:11" ht="18.75">
      <c r="B18" s="2"/>
      <c r="C18" s="44" t="s">
        <v>11</v>
      </c>
      <c r="D18" s="44"/>
      <c r="E18" s="44"/>
      <c r="F18" s="23">
        <f>SUM(F15:F17)</f>
        <v>2236524.2600000002</v>
      </c>
      <c r="G18" s="23">
        <f>SUM(G15:G17)</f>
        <v>2157407.7399999998</v>
      </c>
      <c r="H18" s="3"/>
      <c r="J18" s="7">
        <f>F18-G18</f>
        <v>79116.520000000484</v>
      </c>
      <c r="K18" s="7"/>
    </row>
    <row r="19" spans="2:11" ht="18.75">
      <c r="B19" s="2"/>
      <c r="C19" s="75" t="s">
        <v>12</v>
      </c>
      <c r="D19" s="75"/>
      <c r="E19" s="75"/>
      <c r="F19" s="75"/>
      <c r="G19" s="75"/>
      <c r="H19" s="3"/>
    </row>
    <row r="20" spans="2:11" ht="15.75">
      <c r="B20" s="2"/>
      <c r="C20" s="59" t="s">
        <v>42</v>
      </c>
      <c r="D20" s="59"/>
      <c r="E20" s="59"/>
      <c r="F20" s="9">
        <f>F17</f>
        <v>127612.18</v>
      </c>
      <c r="G20" s="11"/>
      <c r="H20" s="3"/>
    </row>
    <row r="21" spans="2:11" ht="15.75">
      <c r="B21" s="2"/>
      <c r="C21" s="43" t="s">
        <v>13</v>
      </c>
      <c r="D21" s="57"/>
      <c r="E21" s="58"/>
      <c r="F21" s="9">
        <f>SUM(F22:F27)</f>
        <v>1665719.67</v>
      </c>
      <c r="G21" s="11"/>
      <c r="H21" s="3"/>
    </row>
    <row r="22" spans="2:11" ht="15.75">
      <c r="B22" s="2"/>
      <c r="C22" s="43" t="s">
        <v>14</v>
      </c>
      <c r="D22" s="57"/>
      <c r="E22" s="58"/>
      <c r="F22" s="12">
        <f>192938.46-1706.32+64382.03</f>
        <v>255614.16999999998</v>
      </c>
      <c r="G22" s="11"/>
      <c r="H22" s="3"/>
    </row>
    <row r="23" spans="2:11" ht="15.75">
      <c r="B23" s="2"/>
      <c r="C23" s="59" t="s">
        <v>16</v>
      </c>
      <c r="D23" s="59"/>
      <c r="E23" s="59"/>
      <c r="F23" s="12">
        <f>209875.81+70033.89</f>
        <v>279909.7</v>
      </c>
      <c r="G23" s="11"/>
      <c r="H23" s="3"/>
    </row>
    <row r="24" spans="2:11" ht="15.75">
      <c r="B24" s="2"/>
      <c r="C24" s="59" t="s">
        <v>17</v>
      </c>
      <c r="D24" s="59"/>
      <c r="E24" s="59"/>
      <c r="F24" s="12">
        <f>198093.3+37556.72+78634.55</f>
        <v>314284.57</v>
      </c>
      <c r="G24" s="11"/>
      <c r="H24" s="3"/>
    </row>
    <row r="25" spans="2:11" ht="15.75">
      <c r="B25" s="2"/>
      <c r="C25" s="59" t="s">
        <v>18</v>
      </c>
      <c r="D25" s="59"/>
      <c r="E25" s="59"/>
      <c r="F25" s="12">
        <f>128871.11+43003.27</f>
        <v>171874.38</v>
      </c>
      <c r="G25" s="11"/>
      <c r="H25" s="3"/>
    </row>
    <row r="26" spans="2:11" ht="15.75">
      <c r="B26" s="2"/>
      <c r="C26" s="59" t="s">
        <v>19</v>
      </c>
      <c r="D26" s="59"/>
      <c r="E26" s="59"/>
      <c r="F26" s="12">
        <f>253323.78+84532.14</f>
        <v>337855.92</v>
      </c>
      <c r="G26" s="11"/>
      <c r="H26" s="3"/>
    </row>
    <row r="27" spans="2:11" ht="46.5" customHeight="1">
      <c r="B27" s="2"/>
      <c r="C27" s="43" t="s">
        <v>29</v>
      </c>
      <c r="D27" s="43"/>
      <c r="E27" s="43"/>
      <c r="F27" s="12">
        <f>210612.21+16200.94+3682.03+75685.75</f>
        <v>306180.93</v>
      </c>
      <c r="G27" s="11"/>
      <c r="H27" s="3"/>
      <c r="K27" t="s">
        <v>60</v>
      </c>
    </row>
    <row r="28" spans="2:11" ht="15.75">
      <c r="B28" s="2"/>
      <c r="C28" s="43" t="s">
        <v>10</v>
      </c>
      <c r="D28" s="43"/>
      <c r="E28" s="43"/>
      <c r="F28" s="12">
        <f>122246+66275</f>
        <v>188521</v>
      </c>
      <c r="G28" s="11"/>
      <c r="H28" s="3"/>
      <c r="K28">
        <f>46275+20000</f>
        <v>66275</v>
      </c>
    </row>
    <row r="29" spans="2:11" ht="18.75">
      <c r="B29" s="2"/>
      <c r="C29" s="44" t="s">
        <v>20</v>
      </c>
      <c r="D29" s="44"/>
      <c r="E29" s="44"/>
      <c r="F29" s="10">
        <f>F20+F21+F28</f>
        <v>1981852.8499999999</v>
      </c>
      <c r="G29" s="24"/>
      <c r="H29" s="3"/>
    </row>
    <row r="30" spans="2:11" ht="18.75">
      <c r="B30" s="2"/>
      <c r="C30" s="45"/>
      <c r="D30" s="45"/>
      <c r="E30" s="45"/>
      <c r="F30" s="45"/>
      <c r="G30" s="13"/>
      <c r="H30" s="3"/>
    </row>
    <row r="31" spans="2:11" ht="15.75">
      <c r="B31" s="2"/>
      <c r="C31" s="46" t="s">
        <v>43</v>
      </c>
      <c r="D31" s="46"/>
      <c r="E31" s="46"/>
      <c r="F31" s="10">
        <f>3801</f>
        <v>3801</v>
      </c>
      <c r="G31" s="10">
        <f>3716.04</f>
        <v>3716.04</v>
      </c>
      <c r="H31" s="3"/>
      <c r="J31" s="7">
        <f>F31-G31</f>
        <v>84.960000000000036</v>
      </c>
    </row>
    <row r="32" spans="2:11" ht="15.75">
      <c r="B32" s="2"/>
      <c r="C32" s="46" t="s">
        <v>44</v>
      </c>
      <c r="D32" s="46"/>
      <c r="E32" s="46"/>
      <c r="F32" s="10"/>
      <c r="G32" s="10"/>
      <c r="H32" s="3"/>
    </row>
    <row r="33" spans="2:8" ht="18.75">
      <c r="B33" s="2"/>
      <c r="C33" s="49"/>
      <c r="D33" s="49"/>
      <c r="E33" s="49"/>
      <c r="F33" s="49"/>
      <c r="G33" s="50"/>
      <c r="H33" s="3"/>
    </row>
    <row r="34" spans="2:8" ht="27" customHeight="1">
      <c r="B34" s="2"/>
      <c r="C34" s="54" t="s">
        <v>56</v>
      </c>
      <c r="D34" s="54"/>
      <c r="E34" s="54"/>
      <c r="F34" s="54"/>
      <c r="G34" s="26">
        <f>F28-G16+F12</f>
        <v>-272620.95</v>
      </c>
      <c r="H34" s="3"/>
    </row>
    <row r="35" spans="2:8" ht="15.75">
      <c r="B35" s="2"/>
      <c r="C35" s="15"/>
      <c r="D35" s="15"/>
      <c r="E35" s="15"/>
      <c r="F35" s="15"/>
      <c r="G35" s="16"/>
      <c r="H35" s="3"/>
    </row>
    <row r="36" spans="2:8" ht="28.5" customHeight="1">
      <c r="B36" s="2"/>
      <c r="C36" s="48" t="s">
        <v>57</v>
      </c>
      <c r="D36" s="48"/>
      <c r="E36" s="48"/>
      <c r="F36" s="48"/>
      <c r="G36" s="23">
        <f>(F15-G15)+(F17-G17)+F10</f>
        <v>433983.92999999993</v>
      </c>
      <c r="H36" s="3"/>
    </row>
    <row r="37" spans="2:8" ht="15.75">
      <c r="B37" s="2"/>
      <c r="C37" s="30"/>
      <c r="D37" s="30"/>
      <c r="E37" s="30"/>
      <c r="F37" s="30"/>
      <c r="G37" s="17"/>
      <c r="H37" s="3"/>
    </row>
    <row r="38" spans="2:8" ht="33" customHeight="1">
      <c r="B38" s="2"/>
      <c r="C38" s="48" t="s">
        <v>58</v>
      </c>
      <c r="D38" s="48"/>
      <c r="E38" s="48"/>
      <c r="F38" s="48"/>
      <c r="G38" s="14">
        <f>G34+G36</f>
        <v>161362.97999999992</v>
      </c>
      <c r="H38" s="3"/>
    </row>
    <row r="39" spans="2:8">
      <c r="B39" s="18" t="s">
        <v>21</v>
      </c>
      <c r="C39" s="19"/>
      <c r="D39" s="19"/>
      <c r="E39" s="19"/>
      <c r="F39" s="19"/>
      <c r="G39" s="19"/>
      <c r="H39" s="20"/>
    </row>
    <row r="40" spans="2:8">
      <c r="B40" s="18" t="s">
        <v>22</v>
      </c>
      <c r="C40" s="19"/>
      <c r="D40" s="19"/>
      <c r="E40" s="19"/>
      <c r="F40" s="19"/>
      <c r="G40" s="19"/>
      <c r="H40" s="20"/>
    </row>
    <row r="41" spans="2:8">
      <c r="B41" s="18" t="s">
        <v>23</v>
      </c>
      <c r="C41" s="19"/>
      <c r="D41" s="19"/>
      <c r="E41" s="19"/>
      <c r="F41" s="19"/>
      <c r="G41" s="19"/>
      <c r="H41" s="20"/>
    </row>
    <row r="42" spans="2:8">
      <c r="B42" s="18"/>
      <c r="C42" s="86" t="s">
        <v>24</v>
      </c>
      <c r="D42" s="86"/>
      <c r="E42" s="86"/>
      <c r="F42" s="86"/>
      <c r="G42" s="86"/>
      <c r="H42" s="20"/>
    </row>
    <row r="43" spans="2:8" ht="15.75" thickBot="1">
      <c r="B43" s="21"/>
      <c r="C43" s="89" t="s">
        <v>46</v>
      </c>
      <c r="D43" s="89"/>
      <c r="E43" s="89"/>
      <c r="F43" s="89"/>
      <c r="G43" s="89"/>
      <c r="H43" s="22"/>
    </row>
  </sheetData>
  <mergeCells count="37">
    <mergeCell ref="B3:H3"/>
    <mergeCell ref="C4:G4"/>
    <mergeCell ref="C5:G5"/>
    <mergeCell ref="C6:G6"/>
    <mergeCell ref="C7:F7"/>
    <mergeCell ref="C8:F8"/>
    <mergeCell ref="C10:E10"/>
    <mergeCell ref="F10:G10"/>
    <mergeCell ref="C11:G11"/>
    <mergeCell ref="C12:E12"/>
    <mergeCell ref="F12:G12"/>
    <mergeCell ref="C13:G13"/>
    <mergeCell ref="C14:E14"/>
    <mergeCell ref="C15:E15"/>
    <mergeCell ref="C16:E16"/>
    <mergeCell ref="C17:E17"/>
    <mergeCell ref="C18:E18"/>
    <mergeCell ref="C19:G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F30"/>
    <mergeCell ref="C31:E31"/>
    <mergeCell ref="C32:E32"/>
    <mergeCell ref="C43:G43"/>
    <mergeCell ref="C33:G33"/>
    <mergeCell ref="C34:F34"/>
    <mergeCell ref="C36:F36"/>
    <mergeCell ref="C38:F38"/>
    <mergeCell ref="C42:G42"/>
  </mergeCells>
  <pageMargins left="0.70833333333333304" right="0.70833333333333304" top="0.15763888888888899" bottom="0.15763888888888899" header="0.51180555555555496" footer="0.51180555555555496"/>
  <pageSetup paperSize="9" firstPageNumber="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L42"/>
  <sheetViews>
    <sheetView topLeftCell="A10" zoomScalePageLayoutView="60" workbookViewId="0">
      <selection activeCell="L29" sqref="L29"/>
    </sheetView>
  </sheetViews>
  <sheetFormatPr defaultRowHeight="15"/>
  <cols>
    <col min="1" max="1" width="5.21875"/>
    <col min="2" max="2" width="4.44140625" customWidth="1"/>
    <col min="3" max="4" width="7.44140625"/>
    <col min="5" max="5" width="13"/>
    <col min="6" max="6" width="14.109375"/>
    <col min="7" max="7" width="15.44140625" customWidth="1"/>
    <col min="8" max="8" width="4.44140625"/>
    <col min="9" max="9" width="7.44140625"/>
    <col min="10" max="11" width="10" bestFit="1" customWidth="1"/>
    <col min="12" max="1025" width="7.44140625"/>
  </cols>
  <sheetData>
    <row r="1" spans="2:8" ht="15.75" thickBot="1"/>
    <row r="2" spans="2:8" ht="22.5">
      <c r="B2" s="70" t="s">
        <v>51</v>
      </c>
      <c r="C2" s="71"/>
      <c r="D2" s="71"/>
      <c r="E2" s="71"/>
      <c r="F2" s="71"/>
      <c r="G2" s="71"/>
      <c r="H2" s="72"/>
    </row>
    <row r="3" spans="2:8">
      <c r="B3" s="2"/>
      <c r="C3" s="73" t="s">
        <v>1</v>
      </c>
      <c r="D3" s="73"/>
      <c r="E3" s="73"/>
      <c r="F3" s="73"/>
      <c r="G3" s="73"/>
      <c r="H3" s="3"/>
    </row>
    <row r="4" spans="2:8" ht="18.75">
      <c r="B4" s="2"/>
      <c r="C4" s="74" t="s">
        <v>59</v>
      </c>
      <c r="D4" s="74"/>
      <c r="E4" s="74"/>
      <c r="F4" s="74"/>
      <c r="G4" s="74"/>
      <c r="H4" s="3"/>
    </row>
    <row r="5" spans="2:8" ht="18.75">
      <c r="B5" s="2"/>
      <c r="C5" s="75" t="s">
        <v>31</v>
      </c>
      <c r="D5" s="75"/>
      <c r="E5" s="75"/>
      <c r="F5" s="75"/>
      <c r="G5" s="75"/>
      <c r="H5" s="3"/>
    </row>
    <row r="6" spans="2:8" ht="15.75">
      <c r="B6" s="2"/>
      <c r="C6" s="76" t="s">
        <v>3</v>
      </c>
      <c r="D6" s="76"/>
      <c r="E6" s="76"/>
      <c r="F6" s="76"/>
      <c r="G6" s="4">
        <v>230</v>
      </c>
      <c r="H6" s="3"/>
    </row>
    <row r="7" spans="2:8" ht="15.75">
      <c r="B7" s="2"/>
      <c r="C7" s="57" t="s">
        <v>4</v>
      </c>
      <c r="D7" s="57"/>
      <c r="E7" s="57"/>
      <c r="F7" s="57"/>
      <c r="G7" s="31">
        <v>6967.7</v>
      </c>
      <c r="H7" s="3"/>
    </row>
    <row r="8" spans="2:8" ht="19.5" thickBot="1">
      <c r="B8" s="2"/>
      <c r="C8" s="5"/>
      <c r="D8" s="5"/>
      <c r="E8" s="5"/>
      <c r="F8" s="5"/>
      <c r="G8" s="6"/>
      <c r="H8" s="3"/>
    </row>
    <row r="9" spans="2:8" ht="28.5" customHeight="1" thickBot="1">
      <c r="B9" s="2"/>
      <c r="C9" s="84" t="s">
        <v>53</v>
      </c>
      <c r="D9" s="84"/>
      <c r="E9" s="84"/>
      <c r="F9" s="80">
        <v>480152.94</v>
      </c>
      <c r="G9" s="85"/>
      <c r="H9" s="3"/>
    </row>
    <row r="10" spans="2:8" ht="15.75" thickBot="1">
      <c r="B10" s="2"/>
      <c r="C10" s="86"/>
      <c r="D10" s="86"/>
      <c r="E10" s="86"/>
      <c r="F10" s="86"/>
      <c r="G10" s="86"/>
      <c r="H10" s="3"/>
    </row>
    <row r="11" spans="2:8" ht="28.5" customHeight="1" thickBot="1">
      <c r="B11" s="2"/>
      <c r="C11" s="84" t="s">
        <v>54</v>
      </c>
      <c r="D11" s="84"/>
      <c r="E11" s="84"/>
      <c r="F11" s="80">
        <v>120703.38</v>
      </c>
      <c r="G11" s="85"/>
      <c r="H11" s="3"/>
    </row>
    <row r="12" spans="2:8" ht="18.75">
      <c r="B12" s="2"/>
      <c r="C12" s="75" t="s">
        <v>5</v>
      </c>
      <c r="D12" s="75"/>
      <c r="E12" s="75"/>
      <c r="F12" s="75"/>
      <c r="G12" s="75"/>
      <c r="H12" s="3"/>
    </row>
    <row r="13" spans="2:8" ht="15.75">
      <c r="B13" s="2"/>
      <c r="C13" s="87" t="s">
        <v>6</v>
      </c>
      <c r="D13" s="87"/>
      <c r="E13" s="87"/>
      <c r="F13" s="8" t="s">
        <v>7</v>
      </c>
      <c r="G13" s="8" t="s">
        <v>8</v>
      </c>
      <c r="H13" s="3"/>
    </row>
    <row r="14" spans="2:8" ht="15.75">
      <c r="B14" s="2"/>
      <c r="C14" s="88" t="s">
        <v>9</v>
      </c>
      <c r="D14" s="88"/>
      <c r="E14" s="88"/>
      <c r="F14" s="27">
        <f>1363257.47-285465.73-70436.62+354052.86</f>
        <v>1361407.98</v>
      </c>
      <c r="G14" s="27">
        <f>1200030.33-251286.01+293728.48</f>
        <v>1242472.8</v>
      </c>
      <c r="H14" s="3"/>
    </row>
    <row r="15" spans="2:8" ht="15.75">
      <c r="B15" s="2"/>
      <c r="C15" s="88" t="s">
        <v>10</v>
      </c>
      <c r="D15" s="88"/>
      <c r="E15" s="88"/>
      <c r="F15" s="27">
        <f>285465.73+95097.66</f>
        <v>380563.39</v>
      </c>
      <c r="G15" s="27">
        <f>251286.01+78894.72</f>
        <v>330180.73</v>
      </c>
      <c r="H15" s="3"/>
    </row>
    <row r="16" spans="2:8" ht="30" customHeight="1">
      <c r="B16" s="2"/>
      <c r="C16" s="88" t="s">
        <v>45</v>
      </c>
      <c r="D16" s="88"/>
      <c r="E16" s="88"/>
      <c r="F16" s="27">
        <f>23950.58+7986.09</f>
        <v>31936.670000000002</v>
      </c>
      <c r="G16" s="27">
        <f>22872.44+7036.66</f>
        <v>29909.1</v>
      </c>
      <c r="H16" s="3"/>
    </row>
    <row r="17" spans="2:12" ht="18.75">
      <c r="B17" s="2"/>
      <c r="C17" s="44" t="s">
        <v>11</v>
      </c>
      <c r="D17" s="44"/>
      <c r="E17" s="44"/>
      <c r="F17" s="23">
        <f>SUM(F14:F16)</f>
        <v>1773908.04</v>
      </c>
      <c r="G17" s="23">
        <f>SUM(G14:G16)</f>
        <v>1602562.6300000001</v>
      </c>
      <c r="H17" s="3"/>
      <c r="J17" s="7">
        <f>F17-G17</f>
        <v>171345.40999999992</v>
      </c>
      <c r="K17" s="7"/>
    </row>
    <row r="18" spans="2:12" ht="18.75">
      <c r="B18" s="2"/>
      <c r="C18" s="75" t="s">
        <v>12</v>
      </c>
      <c r="D18" s="75"/>
      <c r="E18" s="75"/>
      <c r="F18" s="75"/>
      <c r="G18" s="75"/>
      <c r="H18" s="3"/>
    </row>
    <row r="19" spans="2:12" ht="16.5" customHeight="1">
      <c r="B19" s="2"/>
      <c r="C19" s="59" t="s">
        <v>42</v>
      </c>
      <c r="D19" s="59"/>
      <c r="E19" s="59"/>
      <c r="F19" s="9">
        <f>F16</f>
        <v>31936.670000000002</v>
      </c>
      <c r="G19" s="11"/>
      <c r="H19" s="3"/>
    </row>
    <row r="20" spans="2:12" ht="15.75">
      <c r="B20" s="2"/>
      <c r="C20" s="43" t="s">
        <v>13</v>
      </c>
      <c r="D20" s="57"/>
      <c r="E20" s="58"/>
      <c r="F20" s="9">
        <f>SUM(F21:F26)</f>
        <v>1361407.9</v>
      </c>
      <c r="G20" s="11"/>
      <c r="H20" s="3"/>
    </row>
    <row r="21" spans="2:12" ht="15.75">
      <c r="B21" s="2"/>
      <c r="C21" s="43" t="s">
        <v>14</v>
      </c>
      <c r="D21" s="57"/>
      <c r="E21" s="58"/>
      <c r="F21" s="12">
        <f>166204.49-70436.62+54759.06</f>
        <v>150526.93</v>
      </c>
      <c r="G21" s="11"/>
      <c r="H21" s="3"/>
    </row>
    <row r="22" spans="2:12" ht="15.75">
      <c r="B22" s="2"/>
      <c r="C22" s="59" t="s">
        <v>16</v>
      </c>
      <c r="D22" s="59"/>
      <c r="E22" s="59"/>
      <c r="F22" s="12">
        <f>180794.96+59566.15</f>
        <v>240361.11</v>
      </c>
      <c r="G22" s="11"/>
      <c r="H22" s="3"/>
    </row>
    <row r="23" spans="2:12" ht="15.75">
      <c r="B23" s="2"/>
      <c r="C23" s="59" t="s">
        <v>17</v>
      </c>
      <c r="D23" s="59"/>
      <c r="E23" s="59"/>
      <c r="F23" s="12">
        <f>170645.07+32352.78+66881.28</f>
        <v>269879.13</v>
      </c>
      <c r="G23" s="11"/>
      <c r="H23" s="3"/>
    </row>
    <row r="24" spans="2:12" ht="15.75">
      <c r="B24" s="2"/>
      <c r="C24" s="59" t="s">
        <v>18</v>
      </c>
      <c r="D24" s="59"/>
      <c r="E24" s="59"/>
      <c r="F24" s="12">
        <f>111014.45+36575.7</f>
        <v>147590.15</v>
      </c>
      <c r="G24" s="11"/>
      <c r="H24" s="3"/>
    </row>
    <row r="25" spans="2:12" ht="15.75">
      <c r="B25" s="2"/>
      <c r="C25" s="59" t="s">
        <v>19</v>
      </c>
      <c r="D25" s="59"/>
      <c r="E25" s="59"/>
      <c r="F25" s="12">
        <f>218222.69+71897.39</f>
        <v>290120.08</v>
      </c>
      <c r="G25" s="11"/>
      <c r="H25" s="3"/>
    </row>
    <row r="26" spans="2:12" ht="33.75" customHeight="1">
      <c r="B26" s="2"/>
      <c r="C26" s="43" t="s">
        <v>29</v>
      </c>
      <c r="D26" s="43"/>
      <c r="E26" s="43"/>
      <c r="F26" s="12">
        <f>181429.33+13956.1+3171.84+64373.23</f>
        <v>262930.5</v>
      </c>
      <c r="G26" s="11"/>
      <c r="H26" s="3"/>
      <c r="J26" t="s">
        <v>63</v>
      </c>
      <c r="K26" t="s">
        <v>61</v>
      </c>
      <c r="L26" t="s">
        <v>62</v>
      </c>
    </row>
    <row r="27" spans="2:12" ht="15.75">
      <c r="B27" s="2"/>
      <c r="C27" s="43" t="s">
        <v>10</v>
      </c>
      <c r="D27" s="43"/>
      <c r="E27" s="43"/>
      <c r="F27" s="12">
        <f>72581+92250+102000+18675</f>
        <v>285506</v>
      </c>
      <c r="G27" s="11"/>
      <c r="H27" s="3"/>
      <c r="J27">
        <f>1393+729+14027+7006+9662+2397+11369+1473+4693+14636+1921+3012+263</f>
        <v>72581</v>
      </c>
      <c r="K27">
        <f>92250</f>
        <v>92250</v>
      </c>
      <c r="L27">
        <f>18000+24000+33000+9000+6000+6000+6000</f>
        <v>102000</v>
      </c>
    </row>
    <row r="28" spans="2:12" ht="18.75">
      <c r="B28" s="2"/>
      <c r="C28" s="44" t="s">
        <v>20</v>
      </c>
      <c r="D28" s="44"/>
      <c r="E28" s="44"/>
      <c r="F28" s="10">
        <f>F19+F20+F27</f>
        <v>1678850.5699999998</v>
      </c>
      <c r="G28" s="24"/>
      <c r="H28" s="3"/>
      <c r="L28">
        <v>18675</v>
      </c>
    </row>
    <row r="29" spans="2:12" ht="18.75">
      <c r="B29" s="2"/>
      <c r="C29" s="45"/>
      <c r="D29" s="45"/>
      <c r="E29" s="45"/>
      <c r="F29" s="45"/>
      <c r="G29" s="13"/>
      <c r="H29" s="3"/>
    </row>
    <row r="30" spans="2:12" ht="15.75">
      <c r="B30" s="2"/>
      <c r="C30" s="46" t="s">
        <v>43</v>
      </c>
      <c r="D30" s="46"/>
      <c r="E30" s="46"/>
      <c r="F30" s="10">
        <f>2864.18+954.39</f>
        <v>3818.5699999999997</v>
      </c>
      <c r="G30" s="10">
        <f>2522.9+791.89</f>
        <v>3314.79</v>
      </c>
      <c r="H30" s="3"/>
      <c r="J30" s="7">
        <f>F30-G30</f>
        <v>503.77999999999975</v>
      </c>
    </row>
    <row r="31" spans="2:12" ht="15.75">
      <c r="B31" s="2"/>
      <c r="C31" s="46" t="s">
        <v>44</v>
      </c>
      <c r="D31" s="46"/>
      <c r="E31" s="46"/>
      <c r="F31" s="10"/>
      <c r="G31" s="10"/>
      <c r="H31" s="3"/>
    </row>
    <row r="32" spans="2:12" ht="18.75">
      <c r="B32" s="2"/>
      <c r="C32" s="49"/>
      <c r="D32" s="49"/>
      <c r="E32" s="49"/>
      <c r="F32" s="49"/>
      <c r="G32" s="50"/>
      <c r="H32" s="3"/>
    </row>
    <row r="33" spans="2:8" ht="31.5" customHeight="1">
      <c r="B33" s="2"/>
      <c r="C33" s="54" t="s">
        <v>56</v>
      </c>
      <c r="D33" s="54"/>
      <c r="E33" s="54"/>
      <c r="F33" s="54"/>
      <c r="G33" s="26">
        <f>F27-G15+F11</f>
        <v>76028.650000000023</v>
      </c>
      <c r="H33" s="3"/>
    </row>
    <row r="34" spans="2:8" ht="15.75">
      <c r="B34" s="2"/>
      <c r="C34" s="15"/>
      <c r="D34" s="15"/>
      <c r="E34" s="15"/>
      <c r="F34" s="15"/>
      <c r="G34" s="16"/>
      <c r="H34" s="3"/>
    </row>
    <row r="35" spans="2:8" ht="48" customHeight="1">
      <c r="B35" s="2"/>
      <c r="C35" s="48" t="s">
        <v>57</v>
      </c>
      <c r="D35" s="48"/>
      <c r="E35" s="48"/>
      <c r="F35" s="48"/>
      <c r="G35" s="23">
        <f>(F14-G14)+(F16-G16)+F9</f>
        <v>601115.68999999994</v>
      </c>
      <c r="H35" s="3"/>
    </row>
    <row r="36" spans="2:8" ht="15.75">
      <c r="B36" s="2"/>
      <c r="C36" s="30"/>
      <c r="D36" s="30"/>
      <c r="E36" s="30"/>
      <c r="F36" s="30"/>
      <c r="G36" s="17"/>
      <c r="H36" s="3"/>
    </row>
    <row r="37" spans="2:8" ht="38.25" customHeight="1">
      <c r="B37" s="2"/>
      <c r="C37" s="48" t="s">
        <v>58</v>
      </c>
      <c r="D37" s="48"/>
      <c r="E37" s="48"/>
      <c r="F37" s="48"/>
      <c r="G37" s="14">
        <f>G33+G35</f>
        <v>677144.34</v>
      </c>
      <c r="H37" s="3"/>
    </row>
    <row r="38" spans="2:8">
      <c r="B38" s="18" t="s">
        <v>21</v>
      </c>
      <c r="C38" s="19"/>
      <c r="D38" s="19"/>
      <c r="E38" s="19"/>
      <c r="F38" s="19"/>
      <c r="G38" s="19"/>
      <c r="H38" s="20"/>
    </row>
    <row r="39" spans="2:8">
      <c r="B39" s="18" t="s">
        <v>22</v>
      </c>
      <c r="C39" s="19"/>
      <c r="D39" s="19"/>
      <c r="E39" s="19"/>
      <c r="F39" s="19"/>
      <c r="G39" s="19"/>
      <c r="H39" s="20"/>
    </row>
    <row r="40" spans="2:8">
      <c r="B40" s="18" t="s">
        <v>23</v>
      </c>
      <c r="C40" s="19"/>
      <c r="D40" s="19"/>
      <c r="E40" s="19"/>
      <c r="F40" s="19"/>
      <c r="G40" s="19"/>
      <c r="H40" s="20"/>
    </row>
    <row r="41" spans="2:8">
      <c r="B41" s="18"/>
      <c r="C41" s="86" t="s">
        <v>24</v>
      </c>
      <c r="D41" s="86"/>
      <c r="E41" s="86"/>
      <c r="F41" s="86"/>
      <c r="G41" s="86"/>
      <c r="H41" s="20"/>
    </row>
    <row r="42" spans="2:8" ht="15.75" thickBot="1">
      <c r="B42" s="21"/>
      <c r="C42" s="89" t="s">
        <v>46</v>
      </c>
      <c r="D42" s="89"/>
      <c r="E42" s="89"/>
      <c r="F42" s="89"/>
      <c r="G42" s="89"/>
      <c r="H42" s="22"/>
    </row>
  </sheetData>
  <mergeCells count="37">
    <mergeCell ref="B2:H2"/>
    <mergeCell ref="C3:G3"/>
    <mergeCell ref="C4:G4"/>
    <mergeCell ref="C5:G5"/>
    <mergeCell ref="C6:F6"/>
    <mergeCell ref="C7:F7"/>
    <mergeCell ref="C9:E9"/>
    <mergeCell ref="F9:G9"/>
    <mergeCell ref="C10:G10"/>
    <mergeCell ref="C11:E11"/>
    <mergeCell ref="F11:G11"/>
    <mergeCell ref="C12:G12"/>
    <mergeCell ref="C13:E13"/>
    <mergeCell ref="C14:E14"/>
    <mergeCell ref="C15:E15"/>
    <mergeCell ref="C16:E16"/>
    <mergeCell ref="C17:E17"/>
    <mergeCell ref="C18:G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F29"/>
    <mergeCell ref="C30:E30"/>
    <mergeCell ref="C31:E31"/>
    <mergeCell ref="C41:G41"/>
    <mergeCell ref="C42:G42"/>
    <mergeCell ref="C32:G32"/>
    <mergeCell ref="C33:F33"/>
    <mergeCell ref="C35:F35"/>
    <mergeCell ref="C37:F37"/>
  </mergeCells>
  <pageMargins left="0.70833333333333304" right="0.70833333333333304" top="0.15763888888888899" bottom="0.15763888888888899" header="0.51180555555555496" footer="0.51180555555555496"/>
  <pageSetup paperSize="9" firstPageNumber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L43"/>
  <sheetViews>
    <sheetView topLeftCell="A7" zoomScalePageLayoutView="60" workbookViewId="0">
      <selection activeCell="J19" sqref="J19"/>
    </sheetView>
  </sheetViews>
  <sheetFormatPr defaultRowHeight="15"/>
  <cols>
    <col min="1" max="1" width="5.21875"/>
    <col min="2" max="2" width="4.44140625" customWidth="1"/>
    <col min="3" max="4" width="7.44140625"/>
    <col min="5" max="5" width="11.33203125"/>
    <col min="6" max="6" width="14.109375"/>
    <col min="7" max="7" width="13.6640625"/>
    <col min="8" max="8" width="4.109375" customWidth="1"/>
    <col min="9" max="9" width="7.44140625"/>
    <col min="10" max="11" width="10" bestFit="1" customWidth="1"/>
    <col min="12" max="1025" width="7.44140625"/>
  </cols>
  <sheetData>
    <row r="2" spans="2:8" ht="15.75" thickBot="1"/>
    <row r="3" spans="2:8" ht="22.5">
      <c r="B3" s="70" t="s">
        <v>32</v>
      </c>
      <c r="C3" s="71"/>
      <c r="D3" s="71"/>
      <c r="E3" s="71"/>
      <c r="F3" s="71"/>
      <c r="G3" s="71"/>
      <c r="H3" s="72"/>
    </row>
    <row r="4" spans="2:8">
      <c r="B4" s="2"/>
      <c r="C4" s="73" t="s">
        <v>1</v>
      </c>
      <c r="D4" s="73"/>
      <c r="E4" s="73"/>
      <c r="F4" s="73"/>
      <c r="G4" s="73"/>
      <c r="H4" s="3"/>
    </row>
    <row r="5" spans="2:8" ht="18.75">
      <c r="B5" s="2"/>
      <c r="C5" s="74" t="s">
        <v>59</v>
      </c>
      <c r="D5" s="74"/>
      <c r="E5" s="74"/>
      <c r="F5" s="74"/>
      <c r="G5" s="74"/>
      <c r="H5" s="3"/>
    </row>
    <row r="6" spans="2:8" ht="18.75">
      <c r="B6" s="2"/>
      <c r="C6" s="75" t="s">
        <v>33</v>
      </c>
      <c r="D6" s="75"/>
      <c r="E6" s="75"/>
      <c r="F6" s="75"/>
      <c r="G6" s="75"/>
      <c r="H6" s="3"/>
    </row>
    <row r="7" spans="2:8" ht="15.75">
      <c r="B7" s="2"/>
      <c r="C7" s="76" t="s">
        <v>3</v>
      </c>
      <c r="D7" s="76"/>
      <c r="E7" s="76"/>
      <c r="F7" s="76"/>
      <c r="G7" s="4">
        <v>287</v>
      </c>
      <c r="H7" s="3"/>
    </row>
    <row r="8" spans="2:8" ht="15.75">
      <c r="B8" s="2"/>
      <c r="C8" s="57" t="s">
        <v>4</v>
      </c>
      <c r="D8" s="57"/>
      <c r="E8" s="57"/>
      <c r="F8" s="57"/>
      <c r="G8" s="34">
        <v>6732.3</v>
      </c>
      <c r="H8" s="3"/>
    </row>
    <row r="9" spans="2:8" ht="19.5" thickBot="1">
      <c r="B9" s="2"/>
      <c r="C9" s="5"/>
      <c r="D9" s="5"/>
      <c r="E9" s="5"/>
      <c r="F9" s="5"/>
      <c r="G9" s="6"/>
      <c r="H9" s="3"/>
    </row>
    <row r="10" spans="2:8" ht="30" customHeight="1" thickBot="1">
      <c r="B10" s="2"/>
      <c r="C10" s="84" t="s">
        <v>53</v>
      </c>
      <c r="D10" s="84"/>
      <c r="E10" s="84"/>
      <c r="F10" s="80">
        <v>512205.46</v>
      </c>
      <c r="G10" s="85"/>
      <c r="H10" s="3"/>
    </row>
    <row r="11" spans="2:8" ht="15.75" thickBot="1">
      <c r="B11" s="2"/>
      <c r="C11" s="86"/>
      <c r="D11" s="86"/>
      <c r="E11" s="86"/>
      <c r="F11" s="86"/>
      <c r="G11" s="86"/>
      <c r="H11" s="3"/>
    </row>
    <row r="12" spans="2:8" ht="29.25" customHeight="1" thickBot="1">
      <c r="B12" s="2"/>
      <c r="C12" s="84" t="s">
        <v>54</v>
      </c>
      <c r="D12" s="84"/>
      <c r="E12" s="84"/>
      <c r="F12" s="80">
        <v>-47175</v>
      </c>
      <c r="G12" s="85"/>
      <c r="H12" s="3"/>
    </row>
    <row r="13" spans="2:8" ht="18.75">
      <c r="B13" s="2"/>
      <c r="C13" s="75" t="s">
        <v>5</v>
      </c>
      <c r="D13" s="75"/>
      <c r="E13" s="75"/>
      <c r="F13" s="75"/>
      <c r="G13" s="75"/>
      <c r="H13" s="3"/>
    </row>
    <row r="14" spans="2:8" ht="15.75">
      <c r="B14" s="2"/>
      <c r="C14" s="87" t="s">
        <v>6</v>
      </c>
      <c r="D14" s="87"/>
      <c r="E14" s="87"/>
      <c r="F14" s="8" t="s">
        <v>7</v>
      </c>
      <c r="G14" s="8" t="s">
        <v>8</v>
      </c>
      <c r="H14" s="3"/>
    </row>
    <row r="15" spans="2:8" ht="15.75">
      <c r="B15" s="2"/>
      <c r="C15" s="88" t="s">
        <v>9</v>
      </c>
      <c r="D15" s="88"/>
      <c r="E15" s="88"/>
      <c r="F15" s="27">
        <f>1302095.97-10241.75-272658.53+342135.21</f>
        <v>1361330.9</v>
      </c>
      <c r="G15" s="27">
        <f>1152074.02-241243.98+273527.15</f>
        <v>1184357.19</v>
      </c>
      <c r="H15" s="3"/>
    </row>
    <row r="16" spans="2:8" ht="15.75">
      <c r="B16" s="2"/>
      <c r="C16" s="88" t="s">
        <v>10</v>
      </c>
      <c r="D16" s="88"/>
      <c r="E16" s="88"/>
      <c r="F16" s="27">
        <f>272658.53+91896.78</f>
        <v>364555.31000000006</v>
      </c>
      <c r="G16" s="27">
        <f>241243.98+73468.75</f>
        <v>314712.73</v>
      </c>
      <c r="H16" s="3"/>
    </row>
    <row r="17" spans="2:12" ht="33" customHeight="1">
      <c r="B17" s="2"/>
      <c r="C17" s="88" t="s">
        <v>45</v>
      </c>
      <c r="D17" s="88"/>
      <c r="E17" s="88"/>
      <c r="F17" s="27">
        <f>93441.82+31147.35</f>
        <v>124589.17000000001</v>
      </c>
      <c r="G17" s="27">
        <f>83408.67+24808.2</f>
        <v>108216.87</v>
      </c>
      <c r="H17" s="3"/>
    </row>
    <row r="18" spans="2:12" ht="18.75">
      <c r="B18" s="2"/>
      <c r="C18" s="44" t="s">
        <v>11</v>
      </c>
      <c r="D18" s="44"/>
      <c r="E18" s="44"/>
      <c r="F18" s="23">
        <f>SUM(F15:F17)</f>
        <v>1850475.38</v>
      </c>
      <c r="G18" s="23">
        <f>SUM(G15:G17)</f>
        <v>1607286.79</v>
      </c>
      <c r="H18" s="3"/>
      <c r="J18" s="7">
        <f>F18-G18</f>
        <v>243188.58999999985</v>
      </c>
      <c r="K18" s="7"/>
    </row>
    <row r="19" spans="2:12" ht="18.75">
      <c r="B19" s="2"/>
      <c r="C19" s="75" t="s">
        <v>12</v>
      </c>
      <c r="D19" s="75"/>
      <c r="E19" s="75"/>
      <c r="F19" s="75"/>
      <c r="G19" s="75"/>
      <c r="H19" s="3"/>
    </row>
    <row r="20" spans="2:12" ht="15.75">
      <c r="B20" s="2"/>
      <c r="C20" s="59" t="s">
        <v>42</v>
      </c>
      <c r="D20" s="59"/>
      <c r="E20" s="59"/>
      <c r="F20" s="9">
        <f>F17</f>
        <v>124589.17000000001</v>
      </c>
      <c r="G20" s="11"/>
      <c r="H20" s="3"/>
    </row>
    <row r="21" spans="2:12" ht="15.75">
      <c r="B21" s="2"/>
      <c r="C21" s="43" t="s">
        <v>13</v>
      </c>
      <c r="D21" s="57"/>
      <c r="E21" s="58"/>
      <c r="F21" s="9">
        <f>SUM(F22:F27)</f>
        <v>1361330.85</v>
      </c>
      <c r="G21" s="11"/>
      <c r="H21" s="3"/>
    </row>
    <row r="22" spans="2:12" ht="15.75">
      <c r="B22" s="2"/>
      <c r="C22" s="43" t="s">
        <v>14</v>
      </c>
      <c r="D22" s="57"/>
      <c r="E22" s="58"/>
      <c r="F22" s="12">
        <f>158747.86-10241.75+52915.83</f>
        <v>201421.94</v>
      </c>
      <c r="G22" s="11"/>
      <c r="H22" s="3"/>
    </row>
    <row r="23" spans="2:12" ht="15.75">
      <c r="B23" s="2"/>
      <c r="C23" s="59" t="s">
        <v>16</v>
      </c>
      <c r="D23" s="59"/>
      <c r="E23" s="59"/>
      <c r="F23" s="12">
        <f>172683.74+57561.11</f>
        <v>230244.84999999998</v>
      </c>
      <c r="G23" s="11"/>
      <c r="H23" s="3"/>
    </row>
    <row r="24" spans="2:12" ht="15.75">
      <c r="B24" s="2"/>
      <c r="C24" s="59" t="s">
        <v>17</v>
      </c>
      <c r="D24" s="59"/>
      <c r="E24" s="59"/>
      <c r="F24" s="12">
        <f>162989.21+30901.3+64630.02</f>
        <v>258520.52999999997</v>
      </c>
      <c r="G24" s="11"/>
      <c r="H24" s="3"/>
    </row>
    <row r="25" spans="2:12" ht="15.75">
      <c r="B25" s="2"/>
      <c r="C25" s="59" t="s">
        <v>18</v>
      </c>
      <c r="D25" s="59"/>
      <c r="E25" s="59"/>
      <c r="F25" s="12">
        <f>106033.87+35344.54</f>
        <v>141378.41</v>
      </c>
      <c r="G25" s="11"/>
      <c r="H25" s="3"/>
    </row>
    <row r="26" spans="2:12" ht="15.75">
      <c r="B26" s="2"/>
      <c r="C26" s="59" t="s">
        <v>19</v>
      </c>
      <c r="D26" s="59"/>
      <c r="E26" s="59"/>
      <c r="F26" s="12">
        <f>208432.3+69477.27</f>
        <v>277909.57</v>
      </c>
      <c r="G26" s="11"/>
      <c r="H26" s="3"/>
    </row>
    <row r="27" spans="2:12" ht="46.5" customHeight="1">
      <c r="B27" s="2"/>
      <c r="C27" s="43" t="s">
        <v>29</v>
      </c>
      <c r="D27" s="43"/>
      <c r="E27" s="43"/>
      <c r="F27" s="12">
        <f>173289.65+13329.97+3029.54+62206.39</f>
        <v>251855.55</v>
      </c>
      <c r="G27" s="11"/>
      <c r="H27" s="3"/>
      <c r="J27" t="s">
        <v>66</v>
      </c>
      <c r="K27" t="s">
        <v>64</v>
      </c>
      <c r="L27" t="s">
        <v>65</v>
      </c>
    </row>
    <row r="28" spans="2:12" ht="15.75">
      <c r="B28" s="2"/>
      <c r="C28" s="43" t="s">
        <v>10</v>
      </c>
      <c r="D28" s="43"/>
      <c r="E28" s="43"/>
      <c r="F28" s="12">
        <f>77072+10000+30000</f>
        <v>117072</v>
      </c>
      <c r="G28" s="11"/>
      <c r="H28" s="3"/>
      <c r="J28">
        <f>792+2067+3315+13034+36350+383+2469+6483+5238+4290+2651</f>
        <v>77072</v>
      </c>
      <c r="K28">
        <v>10000</v>
      </c>
      <c r="L28">
        <f>34200-4200</f>
        <v>30000</v>
      </c>
    </row>
    <row r="29" spans="2:12" ht="18.75">
      <c r="B29" s="2"/>
      <c r="C29" s="44" t="s">
        <v>20</v>
      </c>
      <c r="D29" s="44"/>
      <c r="E29" s="44"/>
      <c r="F29" s="10">
        <f>F20+F21+F28</f>
        <v>1602992.02</v>
      </c>
      <c r="G29" s="24"/>
      <c r="H29" s="3"/>
    </row>
    <row r="30" spans="2:12" ht="18.75">
      <c r="B30" s="2"/>
      <c r="C30" s="45"/>
      <c r="D30" s="45"/>
      <c r="E30" s="45"/>
      <c r="F30" s="45"/>
      <c r="G30" s="13"/>
      <c r="H30" s="3"/>
    </row>
    <row r="31" spans="2:12" ht="15.75">
      <c r="B31" s="2"/>
      <c r="C31" s="46" t="s">
        <v>43</v>
      </c>
      <c r="D31" s="46"/>
      <c r="E31" s="46"/>
      <c r="F31" s="10">
        <f>1861.55+620.49</f>
        <v>2482.04</v>
      </c>
      <c r="G31" s="10">
        <f>1647.02+496.17</f>
        <v>2143.19</v>
      </c>
      <c r="H31" s="3"/>
      <c r="J31" s="7">
        <f>F31-G31</f>
        <v>338.84999999999991</v>
      </c>
    </row>
    <row r="32" spans="2:12" ht="15.75">
      <c r="B32" s="2"/>
      <c r="C32" s="46" t="s">
        <v>44</v>
      </c>
      <c r="D32" s="46"/>
      <c r="E32" s="46"/>
      <c r="F32" s="10"/>
      <c r="G32" s="10"/>
      <c r="H32" s="3"/>
    </row>
    <row r="33" spans="2:8" ht="18.75">
      <c r="B33" s="2"/>
      <c r="C33" s="49"/>
      <c r="D33" s="49"/>
      <c r="E33" s="49"/>
      <c r="F33" s="49"/>
      <c r="G33" s="50"/>
      <c r="H33" s="3"/>
    </row>
    <row r="34" spans="2:8" ht="28.5" customHeight="1">
      <c r="B34" s="2"/>
      <c r="C34" s="54" t="s">
        <v>56</v>
      </c>
      <c r="D34" s="54"/>
      <c r="E34" s="54"/>
      <c r="F34" s="54"/>
      <c r="G34" s="26">
        <f>F28-G16+F12</f>
        <v>-244815.72999999998</v>
      </c>
      <c r="H34" s="3"/>
    </row>
    <row r="35" spans="2:8" ht="15.75">
      <c r="B35" s="2"/>
      <c r="C35" s="15"/>
      <c r="D35" s="15"/>
      <c r="E35" s="15"/>
      <c r="F35" s="15"/>
      <c r="G35" s="16"/>
      <c r="H35" s="3"/>
    </row>
    <row r="36" spans="2:8" ht="30" customHeight="1">
      <c r="B36" s="2"/>
      <c r="C36" s="48" t="s">
        <v>57</v>
      </c>
      <c r="D36" s="48"/>
      <c r="E36" s="48"/>
      <c r="F36" s="48"/>
      <c r="G36" s="23">
        <f>(F15-G15)+(F17-G17)+F10</f>
        <v>705551.47</v>
      </c>
      <c r="H36" s="3"/>
    </row>
    <row r="37" spans="2:8" ht="15.75">
      <c r="B37" s="2"/>
      <c r="C37" s="30"/>
      <c r="D37" s="30"/>
      <c r="E37" s="30"/>
      <c r="F37" s="30"/>
      <c r="G37" s="17"/>
      <c r="H37" s="3"/>
    </row>
    <row r="38" spans="2:8" ht="33.75" customHeight="1">
      <c r="B38" s="2"/>
      <c r="C38" s="48" t="s">
        <v>58</v>
      </c>
      <c r="D38" s="48"/>
      <c r="E38" s="48"/>
      <c r="F38" s="48"/>
      <c r="G38" s="14">
        <f>G34+G36</f>
        <v>460735.74</v>
      </c>
      <c r="H38" s="3"/>
    </row>
    <row r="39" spans="2:8">
      <c r="B39" s="18" t="s">
        <v>21</v>
      </c>
      <c r="C39" s="19"/>
      <c r="D39" s="19"/>
      <c r="E39" s="19"/>
      <c r="F39" s="19"/>
      <c r="G39" s="19"/>
      <c r="H39" s="20"/>
    </row>
    <row r="40" spans="2:8">
      <c r="B40" s="18" t="s">
        <v>22</v>
      </c>
      <c r="C40" s="19"/>
      <c r="D40" s="19"/>
      <c r="E40" s="19"/>
      <c r="F40" s="19"/>
      <c r="G40" s="19"/>
      <c r="H40" s="20"/>
    </row>
    <row r="41" spans="2:8">
      <c r="B41" s="18" t="s">
        <v>23</v>
      </c>
      <c r="C41" s="19"/>
      <c r="D41" s="19"/>
      <c r="E41" s="19"/>
      <c r="F41" s="19"/>
      <c r="G41" s="19"/>
      <c r="H41" s="20"/>
    </row>
    <row r="42" spans="2:8">
      <c r="B42" s="18"/>
      <c r="C42" s="86" t="s">
        <v>24</v>
      </c>
      <c r="D42" s="86"/>
      <c r="E42" s="86"/>
      <c r="F42" s="86"/>
      <c r="G42" s="86"/>
      <c r="H42" s="20"/>
    </row>
    <row r="43" spans="2:8" ht="15.75" thickBot="1">
      <c r="B43" s="21"/>
      <c r="C43" s="89" t="s">
        <v>46</v>
      </c>
      <c r="D43" s="89"/>
      <c r="E43" s="89"/>
      <c r="F43" s="89"/>
      <c r="G43" s="89"/>
      <c r="H43" s="22"/>
    </row>
  </sheetData>
  <mergeCells count="37">
    <mergeCell ref="C43:G43"/>
    <mergeCell ref="C33:G33"/>
    <mergeCell ref="C34:F34"/>
    <mergeCell ref="C36:F36"/>
    <mergeCell ref="C38:F38"/>
    <mergeCell ref="C42:G42"/>
    <mergeCell ref="C28:E28"/>
    <mergeCell ref="C29:E29"/>
    <mergeCell ref="C30:F30"/>
    <mergeCell ref="C31:E31"/>
    <mergeCell ref="C32:E32"/>
    <mergeCell ref="C23:E23"/>
    <mergeCell ref="C24:E24"/>
    <mergeCell ref="C25:E25"/>
    <mergeCell ref="C26:E26"/>
    <mergeCell ref="C27:E27"/>
    <mergeCell ref="C18:E18"/>
    <mergeCell ref="C19:G19"/>
    <mergeCell ref="C20:E20"/>
    <mergeCell ref="C21:E21"/>
    <mergeCell ref="C22:E22"/>
    <mergeCell ref="C13:G13"/>
    <mergeCell ref="C14:E14"/>
    <mergeCell ref="C15:E15"/>
    <mergeCell ref="C16:E16"/>
    <mergeCell ref="C17:E17"/>
    <mergeCell ref="C8:F8"/>
    <mergeCell ref="C10:E10"/>
    <mergeCell ref="F10:G10"/>
    <mergeCell ref="C11:G11"/>
    <mergeCell ref="C12:E12"/>
    <mergeCell ref="F12:G12"/>
    <mergeCell ref="B3:H3"/>
    <mergeCell ref="C4:G4"/>
    <mergeCell ref="C5:G5"/>
    <mergeCell ref="C6:G6"/>
    <mergeCell ref="C7:F7"/>
  </mergeCells>
  <pageMargins left="0.70833333333333304" right="0.70833333333333304" top="0.15763888888888899" bottom="0.15763888888888899" header="0.51180555555555496" footer="0.51180555555555496"/>
  <pageSetup paperSize="9" firstPageNumber="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K42"/>
  <sheetViews>
    <sheetView zoomScalePageLayoutView="60" workbookViewId="0">
      <selection activeCell="J19" sqref="J19"/>
    </sheetView>
  </sheetViews>
  <sheetFormatPr defaultRowHeight="15"/>
  <cols>
    <col min="1" max="1" width="5.21875"/>
    <col min="2" max="2" width="4.33203125" customWidth="1"/>
    <col min="3" max="4" width="7.44140625"/>
    <col min="5" max="5" width="12.44140625"/>
    <col min="6" max="6" width="14.109375"/>
    <col min="7" max="7" width="14.44140625" customWidth="1"/>
    <col min="8" max="8" width="4.77734375" customWidth="1"/>
    <col min="9" max="9" width="7.44140625"/>
    <col min="10" max="11" width="8.77734375" bestFit="1" customWidth="1"/>
    <col min="12" max="1025" width="7.44140625"/>
  </cols>
  <sheetData>
    <row r="2" spans="2:8" ht="15.75" thickBot="1"/>
    <row r="3" spans="2:8" ht="22.5">
      <c r="B3" s="70" t="s">
        <v>34</v>
      </c>
      <c r="C3" s="71"/>
      <c r="D3" s="71"/>
      <c r="E3" s="71"/>
      <c r="F3" s="71"/>
      <c r="G3" s="71"/>
      <c r="H3" s="72"/>
    </row>
    <row r="4" spans="2:8">
      <c r="B4" s="2"/>
      <c r="C4" s="73" t="s">
        <v>1</v>
      </c>
      <c r="D4" s="73"/>
      <c r="E4" s="73"/>
      <c r="F4" s="73"/>
      <c r="G4" s="73"/>
      <c r="H4" s="3"/>
    </row>
    <row r="5" spans="2:8" ht="18.75">
      <c r="B5" s="2"/>
      <c r="C5" s="74" t="s">
        <v>59</v>
      </c>
      <c r="D5" s="74"/>
      <c r="E5" s="74"/>
      <c r="F5" s="74"/>
      <c r="G5" s="74"/>
      <c r="H5" s="3"/>
    </row>
    <row r="6" spans="2:8" ht="18.75">
      <c r="B6" s="2"/>
      <c r="C6" s="75" t="s">
        <v>35</v>
      </c>
      <c r="D6" s="75"/>
      <c r="E6" s="75"/>
      <c r="F6" s="75"/>
      <c r="G6" s="75"/>
      <c r="H6" s="3"/>
    </row>
    <row r="7" spans="2:8" ht="15.75">
      <c r="B7" s="2"/>
      <c r="C7" s="76" t="s">
        <v>3</v>
      </c>
      <c r="D7" s="76"/>
      <c r="E7" s="76"/>
      <c r="F7" s="76"/>
      <c r="G7" s="4">
        <v>164</v>
      </c>
      <c r="H7" s="3"/>
    </row>
    <row r="8" spans="2:8" ht="15.75">
      <c r="B8" s="2"/>
      <c r="C8" s="57" t="s">
        <v>4</v>
      </c>
      <c r="D8" s="57"/>
      <c r="E8" s="57"/>
      <c r="F8" s="57"/>
      <c r="G8" s="36">
        <v>4554.3999999999996</v>
      </c>
      <c r="H8" s="3"/>
    </row>
    <row r="9" spans="2:8" ht="19.5" thickBot="1">
      <c r="B9" s="2"/>
      <c r="C9" s="5"/>
      <c r="D9" s="5"/>
      <c r="E9" s="5"/>
      <c r="F9" s="5"/>
      <c r="G9" s="6"/>
      <c r="H9" s="3"/>
    </row>
    <row r="10" spans="2:8" ht="34.5" customHeight="1" thickBot="1">
      <c r="B10" s="2"/>
      <c r="C10" s="84" t="s">
        <v>53</v>
      </c>
      <c r="D10" s="84"/>
      <c r="E10" s="84"/>
      <c r="F10" s="80">
        <v>309573.90000000002</v>
      </c>
      <c r="G10" s="85"/>
      <c r="H10" s="3"/>
    </row>
    <row r="11" spans="2:8" ht="15.75" thickBot="1">
      <c r="B11" s="2"/>
      <c r="C11" s="86"/>
      <c r="D11" s="86"/>
      <c r="E11" s="86"/>
      <c r="F11" s="86"/>
      <c r="G11" s="86"/>
      <c r="H11" s="3"/>
    </row>
    <row r="12" spans="2:8" ht="30.75" customHeight="1" thickBot="1">
      <c r="B12" s="2"/>
      <c r="C12" s="84" t="s">
        <v>54</v>
      </c>
      <c r="D12" s="84"/>
      <c r="E12" s="84"/>
      <c r="F12" s="80">
        <v>-57668.639999999999</v>
      </c>
      <c r="G12" s="85"/>
      <c r="H12" s="3"/>
    </row>
    <row r="13" spans="2:8" ht="18.75">
      <c r="B13" s="2"/>
      <c r="C13" s="75" t="s">
        <v>5</v>
      </c>
      <c r="D13" s="75"/>
      <c r="E13" s="75"/>
      <c r="F13" s="75"/>
      <c r="G13" s="75"/>
      <c r="H13" s="3"/>
    </row>
    <row r="14" spans="2:8" ht="15.75">
      <c r="B14" s="2"/>
      <c r="C14" s="87" t="s">
        <v>6</v>
      </c>
      <c r="D14" s="87"/>
      <c r="E14" s="87"/>
      <c r="F14" s="8" t="s">
        <v>7</v>
      </c>
      <c r="G14" s="8" t="s">
        <v>8</v>
      </c>
      <c r="H14" s="3"/>
    </row>
    <row r="15" spans="2:8" ht="15.75">
      <c r="B15" s="2"/>
      <c r="C15" s="88" t="s">
        <v>9</v>
      </c>
      <c r="D15" s="88"/>
      <c r="E15" s="88"/>
      <c r="F15" s="27">
        <f>870984.54-182383.92+228857.34</f>
        <v>917457.96</v>
      </c>
      <c r="G15" s="27">
        <f>851726.55-178351.31+236330.26</f>
        <v>909705.5</v>
      </c>
      <c r="H15" s="3"/>
    </row>
    <row r="16" spans="2:8" ht="15.75">
      <c r="B16" s="2"/>
      <c r="C16" s="88" t="s">
        <v>10</v>
      </c>
      <c r="D16" s="88"/>
      <c r="E16" s="88"/>
      <c r="F16" s="27">
        <f>182383.92+61470.84</f>
        <v>243854.76</v>
      </c>
      <c r="G16" s="27">
        <f>178351.31+63477.83</f>
        <v>241829.14</v>
      </c>
      <c r="H16" s="3"/>
    </row>
    <row r="17" spans="2:11" ht="33" customHeight="1">
      <c r="B17" s="2"/>
      <c r="C17" s="88" t="s">
        <v>45</v>
      </c>
      <c r="D17" s="88"/>
      <c r="E17" s="88"/>
      <c r="F17" s="27">
        <f>47444.47+15972.48</f>
        <v>63416.95</v>
      </c>
      <c r="G17" s="27">
        <f>46358.03+16436.53</f>
        <v>62794.559999999998</v>
      </c>
      <c r="H17" s="3"/>
    </row>
    <row r="18" spans="2:11" ht="18.75">
      <c r="B18" s="2"/>
      <c r="C18" s="44" t="s">
        <v>11</v>
      </c>
      <c r="D18" s="44"/>
      <c r="E18" s="44"/>
      <c r="F18" s="23">
        <f>SUM(F15:F17)</f>
        <v>1224729.67</v>
      </c>
      <c r="G18" s="23">
        <f>SUM(G15:G17)</f>
        <v>1214329.2000000002</v>
      </c>
      <c r="H18" s="3"/>
      <c r="J18" s="7">
        <f>F18-G18</f>
        <v>10400.469999999739</v>
      </c>
      <c r="K18" s="7"/>
    </row>
    <row r="19" spans="2:11" ht="18.75">
      <c r="B19" s="2"/>
      <c r="C19" s="75" t="s">
        <v>12</v>
      </c>
      <c r="D19" s="75"/>
      <c r="E19" s="75"/>
      <c r="F19" s="75"/>
      <c r="G19" s="75"/>
      <c r="H19" s="3"/>
    </row>
    <row r="20" spans="2:11" ht="15.75">
      <c r="B20" s="2"/>
      <c r="C20" s="59" t="s">
        <v>42</v>
      </c>
      <c r="D20" s="59"/>
      <c r="E20" s="59"/>
      <c r="F20" s="9">
        <f>F17</f>
        <v>63416.95</v>
      </c>
      <c r="G20" s="11"/>
      <c r="H20" s="3"/>
    </row>
    <row r="21" spans="2:11" ht="15.75">
      <c r="B21" s="2"/>
      <c r="C21" s="43" t="s">
        <v>13</v>
      </c>
      <c r="D21" s="57"/>
      <c r="E21" s="58"/>
      <c r="F21" s="9">
        <f>SUM(F22:F27)</f>
        <v>917457.92999999993</v>
      </c>
      <c r="G21" s="11"/>
      <c r="H21" s="3"/>
    </row>
    <row r="22" spans="2:11" ht="15.75">
      <c r="B22" s="2"/>
      <c r="C22" s="43" t="s">
        <v>14</v>
      </c>
      <c r="D22" s="57"/>
      <c r="E22" s="58"/>
      <c r="F22" s="12">
        <f>106187.97+35395.88</f>
        <v>141583.85</v>
      </c>
      <c r="G22" s="11"/>
      <c r="H22" s="3"/>
    </row>
    <row r="23" spans="2:11" ht="15.75">
      <c r="B23" s="2"/>
      <c r="C23" s="59" t="s">
        <v>16</v>
      </c>
      <c r="D23" s="59"/>
      <c r="E23" s="59"/>
      <c r="F23" s="12">
        <f>115509.82+38503.15</f>
        <v>154012.97</v>
      </c>
      <c r="G23" s="11"/>
      <c r="H23" s="3"/>
    </row>
    <row r="24" spans="2:11" ht="15.75">
      <c r="B24" s="2"/>
      <c r="C24" s="59" t="s">
        <v>17</v>
      </c>
      <c r="D24" s="59"/>
      <c r="E24" s="59"/>
      <c r="F24" s="12">
        <f>109025.05+20670.18+43231.6</f>
        <v>172926.83000000002</v>
      </c>
      <c r="G24" s="11"/>
      <c r="H24" s="3"/>
    </row>
    <row r="25" spans="2:11" ht="15.75">
      <c r="B25" s="2"/>
      <c r="C25" s="59" t="s">
        <v>18</v>
      </c>
      <c r="D25" s="59"/>
      <c r="E25" s="59"/>
      <c r="F25" s="12">
        <f>70927.08+23642.28</f>
        <v>94569.36</v>
      </c>
      <c r="G25" s="11"/>
      <c r="H25" s="3"/>
    </row>
    <row r="26" spans="2:11" ht="15.75">
      <c r="B26" s="2"/>
      <c r="C26" s="59" t="s">
        <v>19</v>
      </c>
      <c r="D26" s="59"/>
      <c r="E26" s="59"/>
      <c r="F26" s="12">
        <f>139422.37+46473.98</f>
        <v>185896.35</v>
      </c>
      <c r="G26" s="11"/>
      <c r="H26" s="3"/>
    </row>
    <row r="27" spans="2:11" ht="35.25" customHeight="1">
      <c r="B27" s="2"/>
      <c r="C27" s="43" t="s">
        <v>29</v>
      </c>
      <c r="D27" s="43"/>
      <c r="E27" s="43"/>
      <c r="F27" s="12">
        <f>115915.11+8916.55+2026.49+41610.42</f>
        <v>168468.57</v>
      </c>
      <c r="G27" s="11"/>
      <c r="H27" s="3"/>
      <c r="J27" t="s">
        <v>66</v>
      </c>
      <c r="K27" t="s">
        <v>61</v>
      </c>
    </row>
    <row r="28" spans="2:11" ht="15.75">
      <c r="B28" s="2"/>
      <c r="C28" s="43" t="s">
        <v>10</v>
      </c>
      <c r="D28" s="43"/>
      <c r="E28" s="43"/>
      <c r="F28" s="12">
        <f>44683+128250</f>
        <v>172933</v>
      </c>
      <c r="G28" s="11"/>
      <c r="H28" s="3"/>
      <c r="J28">
        <f>1031+1789+2461+2327+17119+2469+13756+1373+742+1616</f>
        <v>44683</v>
      </c>
      <c r="K28">
        <v>128250</v>
      </c>
    </row>
    <row r="29" spans="2:11" ht="18.75">
      <c r="B29" s="2"/>
      <c r="C29" s="44" t="s">
        <v>20</v>
      </c>
      <c r="D29" s="44"/>
      <c r="E29" s="44"/>
      <c r="F29" s="10">
        <f>F20+F21+F28</f>
        <v>1153807.8799999999</v>
      </c>
      <c r="G29" s="24"/>
      <c r="H29" s="3"/>
    </row>
    <row r="30" spans="2:11" ht="18.75">
      <c r="B30" s="2"/>
      <c r="C30" s="45"/>
      <c r="D30" s="45"/>
      <c r="E30" s="45"/>
      <c r="F30" s="45"/>
      <c r="G30" s="13"/>
      <c r="H30" s="3"/>
    </row>
    <row r="31" spans="2:11" ht="15.75">
      <c r="B31" s="2"/>
      <c r="C31" s="46" t="s">
        <v>43</v>
      </c>
      <c r="D31" s="46"/>
      <c r="E31" s="46"/>
      <c r="F31" s="10">
        <f>2579.21+869.19</f>
        <v>3448.4</v>
      </c>
      <c r="G31" s="10">
        <f>2523.93+897.43</f>
        <v>3421.3599999999997</v>
      </c>
      <c r="H31" s="3"/>
      <c r="K31" s="7">
        <f>F31-G31</f>
        <v>27.040000000000418</v>
      </c>
    </row>
    <row r="32" spans="2:11" ht="15.75">
      <c r="B32" s="2"/>
      <c r="C32" s="46" t="s">
        <v>44</v>
      </c>
      <c r="D32" s="46"/>
      <c r="E32" s="46"/>
      <c r="F32" s="10"/>
      <c r="G32" s="10"/>
      <c r="H32" s="3"/>
    </row>
    <row r="33" spans="2:8" ht="18.75">
      <c r="B33" s="2"/>
      <c r="C33" s="49"/>
      <c r="D33" s="49"/>
      <c r="E33" s="49"/>
      <c r="F33" s="49"/>
      <c r="G33" s="50"/>
      <c r="H33" s="3"/>
    </row>
    <row r="34" spans="2:8" ht="31.5" customHeight="1">
      <c r="B34" s="2"/>
      <c r="C34" s="54" t="s">
        <v>56</v>
      </c>
      <c r="D34" s="54"/>
      <c r="E34" s="54"/>
      <c r="F34" s="54"/>
      <c r="G34" s="26">
        <f>F28-G16+F12</f>
        <v>-126564.78000000001</v>
      </c>
      <c r="H34" s="3"/>
    </row>
    <row r="35" spans="2:8" ht="15.75">
      <c r="B35" s="2"/>
      <c r="C35" s="15"/>
      <c r="D35" s="15"/>
      <c r="E35" s="15"/>
      <c r="F35" s="15"/>
      <c r="G35" s="16"/>
      <c r="H35" s="3"/>
    </row>
    <row r="36" spans="2:8" ht="32.25" customHeight="1">
      <c r="B36" s="2"/>
      <c r="C36" s="48" t="s">
        <v>57</v>
      </c>
      <c r="D36" s="48"/>
      <c r="E36" s="48"/>
      <c r="F36" s="48"/>
      <c r="G36" s="23">
        <f>(F15-G15)+(F17-G17)+F10</f>
        <v>317948.75</v>
      </c>
      <c r="H36" s="3"/>
    </row>
    <row r="37" spans="2:8" ht="15.75">
      <c r="B37" s="2"/>
      <c r="C37" s="30"/>
      <c r="D37" s="30"/>
      <c r="E37" s="30"/>
      <c r="F37" s="30"/>
      <c r="G37" s="17"/>
      <c r="H37" s="3"/>
    </row>
    <row r="38" spans="2:8" ht="30.75" customHeight="1">
      <c r="B38" s="2"/>
      <c r="C38" s="48" t="s">
        <v>58</v>
      </c>
      <c r="D38" s="48"/>
      <c r="E38" s="48"/>
      <c r="F38" s="48"/>
      <c r="G38" s="14">
        <f>G34+G36</f>
        <v>191383.96999999997</v>
      </c>
      <c r="H38" s="3"/>
    </row>
    <row r="39" spans="2:8">
      <c r="B39" s="18" t="s">
        <v>21</v>
      </c>
      <c r="C39" s="19"/>
      <c r="D39" s="19"/>
      <c r="E39" s="19"/>
      <c r="F39" s="19"/>
      <c r="G39" s="19"/>
      <c r="H39" s="20"/>
    </row>
    <row r="40" spans="2:8">
      <c r="B40" s="18" t="s">
        <v>22</v>
      </c>
      <c r="C40" s="19"/>
      <c r="D40" s="19"/>
      <c r="E40" s="19"/>
      <c r="F40" s="19"/>
      <c r="G40" s="19"/>
      <c r="H40" s="20"/>
    </row>
    <row r="41" spans="2:8">
      <c r="B41" s="18" t="s">
        <v>23</v>
      </c>
      <c r="C41" s="19"/>
      <c r="D41" s="19"/>
      <c r="E41" s="19"/>
      <c r="F41" s="19"/>
      <c r="G41" s="19"/>
      <c r="H41" s="20"/>
    </row>
    <row r="42" spans="2:8" ht="15.75" thickBot="1">
      <c r="B42" s="21"/>
      <c r="C42" s="47" t="s">
        <v>55</v>
      </c>
      <c r="D42" s="47"/>
      <c r="E42" s="47"/>
      <c r="F42" s="47"/>
      <c r="G42" s="47"/>
      <c r="H42" s="22"/>
    </row>
  </sheetData>
  <mergeCells count="36">
    <mergeCell ref="B3:H3"/>
    <mergeCell ref="C4:G4"/>
    <mergeCell ref="C5:G5"/>
    <mergeCell ref="C6:G6"/>
    <mergeCell ref="C7:F7"/>
    <mergeCell ref="C8:F8"/>
    <mergeCell ref="C10:E10"/>
    <mergeCell ref="F10:G10"/>
    <mergeCell ref="C11:G11"/>
    <mergeCell ref="C12:E12"/>
    <mergeCell ref="F12:G12"/>
    <mergeCell ref="C13:G13"/>
    <mergeCell ref="C14:E14"/>
    <mergeCell ref="C15:E15"/>
    <mergeCell ref="C16:E16"/>
    <mergeCell ref="C17:E17"/>
    <mergeCell ref="C18:E18"/>
    <mergeCell ref="C19:G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F30"/>
    <mergeCell ref="C31:E31"/>
    <mergeCell ref="C32:E32"/>
    <mergeCell ref="C33:G33"/>
    <mergeCell ref="C34:F34"/>
    <mergeCell ref="C36:F36"/>
    <mergeCell ref="C38:F38"/>
    <mergeCell ref="C42:G42"/>
  </mergeCells>
  <pageMargins left="0.70833333333333304" right="0.70833333333333304" top="0.15763888888888899" bottom="0.15763888888888899" header="0.51180555555555496" footer="0.51180555555555496"/>
  <pageSetup paperSize="9" firstPageNumber="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K42"/>
  <sheetViews>
    <sheetView topLeftCell="A13" zoomScalePageLayoutView="60" workbookViewId="0">
      <selection activeCell="K18" sqref="K18"/>
    </sheetView>
  </sheetViews>
  <sheetFormatPr defaultRowHeight="15"/>
  <cols>
    <col min="1" max="1" width="5.21875"/>
    <col min="2" max="2" width="4.88671875" customWidth="1"/>
    <col min="3" max="4" width="7.44140625"/>
    <col min="5" max="5" width="11.33203125"/>
    <col min="6" max="6" width="14.109375"/>
    <col min="7" max="7" width="14.33203125" customWidth="1"/>
    <col min="8" max="8" width="4.44140625"/>
    <col min="9" max="9" width="7.44140625"/>
    <col min="10" max="10" width="8.77734375" bestFit="1" customWidth="1"/>
    <col min="11" max="11" width="10" bestFit="1" customWidth="1"/>
    <col min="12" max="1025" width="7.44140625"/>
  </cols>
  <sheetData>
    <row r="2" spans="2:8" ht="15.75" thickBot="1"/>
    <row r="3" spans="2:8" ht="22.5">
      <c r="B3" s="70" t="s">
        <v>36</v>
      </c>
      <c r="C3" s="71"/>
      <c r="D3" s="71"/>
      <c r="E3" s="71"/>
      <c r="F3" s="71"/>
      <c r="G3" s="71"/>
      <c r="H3" s="72"/>
    </row>
    <row r="4" spans="2:8">
      <c r="B4" s="2"/>
      <c r="C4" s="73" t="s">
        <v>1</v>
      </c>
      <c r="D4" s="73"/>
      <c r="E4" s="73"/>
      <c r="F4" s="73"/>
      <c r="G4" s="73"/>
      <c r="H4" s="3"/>
    </row>
    <row r="5" spans="2:8" ht="18.75">
      <c r="B5" s="2"/>
      <c r="C5" s="74" t="s">
        <v>59</v>
      </c>
      <c r="D5" s="74"/>
      <c r="E5" s="74"/>
      <c r="F5" s="74"/>
      <c r="G5" s="74"/>
      <c r="H5" s="3"/>
    </row>
    <row r="6" spans="2:8" ht="18.75">
      <c r="B6" s="2"/>
      <c r="C6" s="75" t="s">
        <v>37</v>
      </c>
      <c r="D6" s="75"/>
      <c r="E6" s="75"/>
      <c r="F6" s="75"/>
      <c r="G6" s="75"/>
      <c r="H6" s="3"/>
    </row>
    <row r="7" spans="2:8" ht="15.75">
      <c r="B7" s="2"/>
      <c r="C7" s="76" t="s">
        <v>3</v>
      </c>
      <c r="D7" s="76"/>
      <c r="E7" s="76"/>
      <c r="F7" s="76"/>
      <c r="G7" s="4">
        <v>205</v>
      </c>
      <c r="H7" s="3"/>
    </row>
    <row r="8" spans="2:8" ht="15.75">
      <c r="B8" s="2"/>
      <c r="C8" s="57" t="s">
        <v>4</v>
      </c>
      <c r="D8" s="57"/>
      <c r="E8" s="57"/>
      <c r="F8" s="57"/>
      <c r="G8" s="36">
        <v>5146</v>
      </c>
      <c r="H8" s="3"/>
    </row>
    <row r="9" spans="2:8" ht="19.5" thickBot="1">
      <c r="B9" s="2"/>
      <c r="C9" s="5"/>
      <c r="D9" s="5"/>
      <c r="E9" s="5"/>
      <c r="F9" s="5"/>
      <c r="G9" s="6"/>
      <c r="H9" s="3"/>
    </row>
    <row r="10" spans="2:8" ht="28.5" customHeight="1" thickBot="1">
      <c r="B10" s="2"/>
      <c r="C10" s="84" t="s">
        <v>53</v>
      </c>
      <c r="D10" s="84"/>
      <c r="E10" s="84"/>
      <c r="F10" s="80">
        <v>321337.48</v>
      </c>
      <c r="G10" s="85"/>
      <c r="H10" s="3"/>
    </row>
    <row r="11" spans="2:8" ht="15.75" thickBot="1">
      <c r="B11" s="2"/>
      <c r="C11" s="86"/>
      <c r="D11" s="86"/>
      <c r="E11" s="86"/>
      <c r="F11" s="86"/>
      <c r="G11" s="86"/>
      <c r="H11" s="3"/>
    </row>
    <row r="12" spans="2:8" ht="28.5" customHeight="1" thickBot="1">
      <c r="B12" s="2"/>
      <c r="C12" s="84" t="s">
        <v>54</v>
      </c>
      <c r="D12" s="84"/>
      <c r="E12" s="84"/>
      <c r="F12" s="80">
        <v>-329660.62</v>
      </c>
      <c r="G12" s="85"/>
      <c r="H12" s="3"/>
    </row>
    <row r="13" spans="2:8" ht="18.75">
      <c r="B13" s="2"/>
      <c r="C13" s="75" t="s">
        <v>5</v>
      </c>
      <c r="D13" s="75"/>
      <c r="E13" s="75"/>
      <c r="F13" s="75"/>
      <c r="G13" s="75"/>
      <c r="H13" s="3"/>
    </row>
    <row r="14" spans="2:8" ht="15.75">
      <c r="B14" s="2"/>
      <c r="C14" s="87" t="s">
        <v>6</v>
      </c>
      <c r="D14" s="87"/>
      <c r="E14" s="87"/>
      <c r="F14" s="8" t="s">
        <v>7</v>
      </c>
      <c r="G14" s="8" t="s">
        <v>8</v>
      </c>
      <c r="H14" s="3"/>
    </row>
    <row r="15" spans="2:8" ht="15.75">
      <c r="B15" s="2"/>
      <c r="C15" s="88" t="s">
        <v>9</v>
      </c>
      <c r="D15" s="88"/>
      <c r="E15" s="88"/>
      <c r="F15" s="27">
        <f>997333.18-208841.29+261519.87</f>
        <v>1050011.76</v>
      </c>
      <c r="G15" s="27">
        <f>891049.77-186585.57+245761.17</f>
        <v>950225.37</v>
      </c>
      <c r="H15" s="3"/>
    </row>
    <row r="16" spans="2:8" ht="15.75">
      <c r="B16" s="2"/>
      <c r="C16" s="88" t="s">
        <v>10</v>
      </c>
      <c r="D16" s="88"/>
      <c r="E16" s="88"/>
      <c r="F16" s="27">
        <f>208841.29+70243.68</f>
        <v>279084.96999999997</v>
      </c>
      <c r="G16" s="27">
        <f>186585.57+66010.98</f>
        <v>252596.55</v>
      </c>
      <c r="H16" s="3"/>
    </row>
    <row r="17" spans="2:11" ht="35.25" customHeight="1">
      <c r="B17" s="2"/>
      <c r="C17" s="88" t="s">
        <v>45</v>
      </c>
      <c r="D17" s="88"/>
      <c r="E17" s="88"/>
      <c r="F17" s="27">
        <f>70165.21+23336.73</f>
        <v>93501.94</v>
      </c>
      <c r="G17" s="27">
        <f>62375.3+21734.55</f>
        <v>84109.85</v>
      </c>
      <c r="H17" s="3"/>
      <c r="K17" s="7"/>
    </row>
    <row r="18" spans="2:11" ht="18.75">
      <c r="B18" s="2"/>
      <c r="C18" s="44" t="s">
        <v>11</v>
      </c>
      <c r="D18" s="44"/>
      <c r="E18" s="44"/>
      <c r="F18" s="23">
        <f>SUM(F15:F17)</f>
        <v>1422598.67</v>
      </c>
      <c r="G18" s="23">
        <f>SUM(G15:G17)</f>
        <v>1286931.77</v>
      </c>
      <c r="H18" s="3"/>
      <c r="J18" s="7"/>
      <c r="K18" s="7">
        <f>F18-G18</f>
        <v>135666.89999999991</v>
      </c>
    </row>
    <row r="19" spans="2:11" ht="18.75">
      <c r="B19" s="2"/>
      <c r="C19" s="75" t="s">
        <v>12</v>
      </c>
      <c r="D19" s="75"/>
      <c r="E19" s="75"/>
      <c r="F19" s="75"/>
      <c r="G19" s="75"/>
      <c r="H19" s="3"/>
    </row>
    <row r="20" spans="2:11" ht="15.75">
      <c r="B20" s="2"/>
      <c r="C20" s="59" t="s">
        <v>42</v>
      </c>
      <c r="D20" s="59"/>
      <c r="E20" s="59"/>
      <c r="F20" s="9">
        <f>F17</f>
        <v>93501.94</v>
      </c>
      <c r="G20" s="11"/>
      <c r="H20" s="3"/>
    </row>
    <row r="21" spans="2:11" ht="15.75">
      <c r="B21" s="2"/>
      <c r="C21" s="43" t="s">
        <v>13</v>
      </c>
      <c r="D21" s="57"/>
      <c r="E21" s="58"/>
      <c r="F21" s="9">
        <f>SUM(F22:F27)</f>
        <v>1050011.73</v>
      </c>
      <c r="G21" s="11"/>
      <c r="H21" s="3"/>
    </row>
    <row r="22" spans="2:11" ht="15.75">
      <c r="B22" s="2"/>
      <c r="C22" s="43" t="s">
        <v>14</v>
      </c>
      <c r="D22" s="57"/>
      <c r="E22" s="58"/>
      <c r="F22" s="12">
        <f>121592.04+40447.58</f>
        <v>162039.62</v>
      </c>
      <c r="G22" s="11"/>
      <c r="H22" s="3"/>
    </row>
    <row r="23" spans="2:11" ht="15.75">
      <c r="B23" s="2"/>
      <c r="C23" s="59" t="s">
        <v>16</v>
      </c>
      <c r="D23" s="59"/>
      <c r="E23" s="59"/>
      <c r="F23" s="12">
        <f>132266.15+43998.32</f>
        <v>176264.47</v>
      </c>
      <c r="G23" s="11"/>
      <c r="H23" s="3"/>
    </row>
    <row r="24" spans="2:11" ht="15.75">
      <c r="B24" s="2"/>
      <c r="C24" s="59" t="s">
        <v>17</v>
      </c>
      <c r="D24" s="59"/>
      <c r="E24" s="59"/>
      <c r="F24" s="12">
        <f>124840.68+23668.68+49401.62</f>
        <v>197910.97999999998</v>
      </c>
      <c r="G24" s="11"/>
      <c r="H24" s="3"/>
    </row>
    <row r="25" spans="2:11" ht="15.75">
      <c r="B25" s="2"/>
      <c r="C25" s="59" t="s">
        <v>18</v>
      </c>
      <c r="D25" s="59"/>
      <c r="E25" s="59"/>
      <c r="F25" s="12">
        <f>81216.06+27016.51</f>
        <v>108232.56999999999</v>
      </c>
      <c r="G25" s="11"/>
      <c r="H25" s="3"/>
    </row>
    <row r="26" spans="2:11" ht="15.75">
      <c r="B26" s="2"/>
      <c r="C26" s="59" t="s">
        <v>19</v>
      </c>
      <c r="D26" s="59"/>
      <c r="E26" s="59"/>
      <c r="F26" s="12">
        <f>159647.56+53106.75</f>
        <v>212754.31</v>
      </c>
      <c r="G26" s="11"/>
      <c r="H26" s="3"/>
    </row>
    <row r="27" spans="2:11" ht="48.75" customHeight="1">
      <c r="B27" s="2"/>
      <c r="C27" s="43" t="s">
        <v>29</v>
      </c>
      <c r="D27" s="43"/>
      <c r="E27" s="43"/>
      <c r="F27" s="12">
        <f>132730.24+10210.02+2320.46+47549.06</f>
        <v>192809.77999999997</v>
      </c>
      <c r="G27" s="11"/>
      <c r="H27" s="3"/>
      <c r="J27" t="s">
        <v>66</v>
      </c>
      <c r="K27" t="s">
        <v>64</v>
      </c>
    </row>
    <row r="28" spans="2:11" ht="15.75">
      <c r="B28" s="2"/>
      <c r="C28" s="43" t="s">
        <v>10</v>
      </c>
      <c r="D28" s="43"/>
      <c r="E28" s="43"/>
      <c r="F28" s="12">
        <f>37631+16600+20000</f>
        <v>74231</v>
      </c>
      <c r="G28" s="11"/>
      <c r="H28" s="3"/>
      <c r="J28">
        <f>6275+16269+8101+395+1525+748+607+3711</f>
        <v>37631</v>
      </c>
      <c r="K28">
        <v>16600</v>
      </c>
    </row>
    <row r="29" spans="2:11" ht="18.75">
      <c r="B29" s="2"/>
      <c r="C29" s="44" t="s">
        <v>20</v>
      </c>
      <c r="D29" s="44"/>
      <c r="E29" s="44"/>
      <c r="F29" s="10">
        <f>F20+F21+F28</f>
        <v>1217744.67</v>
      </c>
      <c r="G29" s="24"/>
      <c r="H29" s="3"/>
      <c r="K29">
        <v>10000</v>
      </c>
    </row>
    <row r="30" spans="2:11" ht="18.75">
      <c r="B30" s="2"/>
      <c r="C30" s="45"/>
      <c r="D30" s="45"/>
      <c r="E30" s="45"/>
      <c r="F30" s="45"/>
      <c r="G30" s="13"/>
      <c r="H30" s="3"/>
      <c r="K30">
        <v>10000</v>
      </c>
    </row>
    <row r="31" spans="2:11" ht="15.75">
      <c r="B31" s="2"/>
      <c r="C31" s="46" t="s">
        <v>43</v>
      </c>
      <c r="D31" s="46"/>
      <c r="E31" s="46"/>
      <c r="F31" s="10">
        <f>2151.62+553.38</f>
        <v>2705</v>
      </c>
      <c r="G31" s="10">
        <f>1877.82+520.09</f>
        <v>2397.91</v>
      </c>
      <c r="H31" s="3"/>
      <c r="K31" s="7">
        <f>F31-G31</f>
        <v>307.09000000000015</v>
      </c>
    </row>
    <row r="32" spans="2:11" ht="15.75">
      <c r="B32" s="2"/>
      <c r="C32" s="46" t="s">
        <v>44</v>
      </c>
      <c r="D32" s="46"/>
      <c r="E32" s="46"/>
      <c r="F32" s="10"/>
      <c r="G32" s="10"/>
      <c r="H32" s="3"/>
    </row>
    <row r="33" spans="2:8" ht="18.75">
      <c r="B33" s="2"/>
      <c r="C33" s="49"/>
      <c r="D33" s="49"/>
      <c r="E33" s="49"/>
      <c r="F33" s="49"/>
      <c r="G33" s="50"/>
      <c r="H33" s="3"/>
    </row>
    <row r="34" spans="2:8" ht="30" customHeight="1">
      <c r="B34" s="2"/>
      <c r="C34" s="54" t="s">
        <v>56</v>
      </c>
      <c r="D34" s="54"/>
      <c r="E34" s="54"/>
      <c r="F34" s="54"/>
      <c r="G34" s="26">
        <f>F28-G16+F12</f>
        <v>-508026.17</v>
      </c>
      <c r="H34" s="3"/>
    </row>
    <row r="35" spans="2:8" ht="15.75">
      <c r="B35" s="2"/>
      <c r="C35" s="15"/>
      <c r="D35" s="15"/>
      <c r="E35" s="15"/>
      <c r="F35" s="15"/>
      <c r="G35" s="16"/>
      <c r="H35" s="3"/>
    </row>
    <row r="36" spans="2:8" ht="30" customHeight="1">
      <c r="B36" s="2"/>
      <c r="C36" s="48" t="s">
        <v>57</v>
      </c>
      <c r="D36" s="48"/>
      <c r="E36" s="48"/>
      <c r="F36" s="48"/>
      <c r="G36" s="23">
        <f>(F15-G15)+(F17-G17)+F10</f>
        <v>430515.95999999996</v>
      </c>
      <c r="H36" s="3"/>
    </row>
    <row r="37" spans="2:8" ht="15.75">
      <c r="B37" s="2"/>
      <c r="C37" s="30"/>
      <c r="D37" s="30"/>
      <c r="E37" s="30"/>
      <c r="F37" s="30"/>
      <c r="G37" s="17"/>
      <c r="H37" s="3"/>
    </row>
    <row r="38" spans="2:8" ht="34.5" customHeight="1">
      <c r="B38" s="2"/>
      <c r="C38" s="48" t="s">
        <v>58</v>
      </c>
      <c r="D38" s="48"/>
      <c r="E38" s="48"/>
      <c r="F38" s="48"/>
      <c r="G38" s="14">
        <f>G34+G36</f>
        <v>-77510.210000000021</v>
      </c>
      <c r="H38" s="3"/>
    </row>
    <row r="39" spans="2:8">
      <c r="B39" s="18" t="s">
        <v>21</v>
      </c>
      <c r="C39" s="19"/>
      <c r="D39" s="19"/>
      <c r="E39" s="19"/>
      <c r="F39" s="19"/>
      <c r="G39" s="19"/>
      <c r="H39" s="20"/>
    </row>
    <row r="40" spans="2:8">
      <c r="B40" s="18" t="s">
        <v>22</v>
      </c>
      <c r="C40" s="19"/>
      <c r="D40" s="19"/>
      <c r="E40" s="19"/>
      <c r="F40" s="19"/>
      <c r="G40" s="19"/>
      <c r="H40" s="20"/>
    </row>
    <row r="41" spans="2:8">
      <c r="B41" s="18" t="s">
        <v>23</v>
      </c>
      <c r="C41" s="19"/>
      <c r="D41" s="19"/>
      <c r="E41" s="19"/>
      <c r="F41" s="19"/>
      <c r="G41" s="19"/>
      <c r="H41" s="20"/>
    </row>
    <row r="42" spans="2:8" ht="15.75" thickBot="1">
      <c r="B42" s="21"/>
      <c r="C42" s="47" t="s">
        <v>52</v>
      </c>
      <c r="D42" s="47"/>
      <c r="E42" s="47"/>
      <c r="F42" s="47"/>
      <c r="G42" s="47"/>
      <c r="H42" s="22"/>
    </row>
  </sheetData>
  <mergeCells count="36">
    <mergeCell ref="B3:H3"/>
    <mergeCell ref="C4:G4"/>
    <mergeCell ref="C5:G5"/>
    <mergeCell ref="C6:G6"/>
    <mergeCell ref="C7:F7"/>
    <mergeCell ref="C8:F8"/>
    <mergeCell ref="C10:E10"/>
    <mergeCell ref="F10:G10"/>
    <mergeCell ref="C11:G11"/>
    <mergeCell ref="C12:E12"/>
    <mergeCell ref="F12:G12"/>
    <mergeCell ref="C13:G13"/>
    <mergeCell ref="C14:E14"/>
    <mergeCell ref="C15:E15"/>
    <mergeCell ref="C16:E16"/>
    <mergeCell ref="C17:E17"/>
    <mergeCell ref="C18:E18"/>
    <mergeCell ref="C19:G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F30"/>
    <mergeCell ref="C31:E31"/>
    <mergeCell ref="C32:E32"/>
    <mergeCell ref="C33:G33"/>
    <mergeCell ref="C34:F34"/>
    <mergeCell ref="C36:F36"/>
    <mergeCell ref="C38:F38"/>
    <mergeCell ref="C42:G42"/>
  </mergeCells>
  <pageMargins left="0.70866141732283472" right="0.51181102362204722" top="0.15748031496062992" bottom="0.15748031496062992" header="0.51181102362204722" footer="0.51181102362204722"/>
  <pageSetup paperSize="9" firstPageNumber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наб81</vt:lpstr>
      <vt:lpstr>наб 83</vt:lpstr>
      <vt:lpstr>наб85</vt:lpstr>
      <vt:lpstr>наб 87</vt:lpstr>
      <vt:lpstr>прол 71-1</vt:lpstr>
      <vt:lpstr>прол 71-2</vt:lpstr>
      <vt:lpstr>прол 79</vt:lpstr>
      <vt:lpstr>прол 79-2</vt:lpstr>
      <vt:lpstr>прол 81</vt:lpstr>
      <vt:lpstr>прол 81 -1</vt:lpstr>
      <vt:lpstr>прол 81 -2</vt:lpstr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cp:revision>0</cp:revision>
  <cp:lastPrinted>2016-01-27T04:24:47Z</cp:lastPrinted>
  <dcterms:modified xsi:type="dcterms:W3CDTF">2016-03-29T19:16:34Z</dcterms:modified>
</cp:coreProperties>
</file>